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ton\Desktop\"/>
    </mc:Choice>
  </mc:AlternateContent>
  <bookViews>
    <workbookView xWindow="0" yWindow="0" windowWidth="28800" windowHeight="12585" activeTab="1"/>
  </bookViews>
  <sheets>
    <sheet name="Return from Investors" sheetId="2" r:id="rId1"/>
    <sheet name="Scenario Analysis" sheetId="3" r:id="rId2"/>
  </sheets>
  <definedNames>
    <definedName name="_Order1" hidden="1">0</definedName>
    <definedName name="Equity_Share_LP">'Return from Investors'!$C$6</definedName>
    <definedName name="Equity_Share_Sponsor">'Return from Investors'!$C$5</definedName>
    <definedName name="IntroPrintArea" hidden="1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Preferred_Return">'Return from Investors'!$E$10</definedName>
    <definedName name="Promote_Structure">'Return from Investors'!$B$9:$I$13</definedName>
    <definedName name="Total_Equity">'Return from Investors'!$D$7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G12" i="3" s="1"/>
  <c r="F11" i="3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H12" i="3" l="1"/>
  <c r="G30" i="2"/>
  <c r="F31" i="2"/>
  <c r="G31" i="2" s="1"/>
  <c r="C6" i="2"/>
  <c r="E10" i="2"/>
  <c r="F38" i="2" s="1"/>
  <c r="G10" i="2"/>
  <c r="E11" i="2"/>
  <c r="C50" i="2" s="1"/>
  <c r="G11" i="2"/>
  <c r="E12" i="2"/>
  <c r="C65" i="2" s="1"/>
  <c r="B72" i="2" s="1"/>
  <c r="G12" i="2"/>
  <c r="G13" i="2"/>
  <c r="F37" i="2"/>
  <c r="F43" i="2"/>
  <c r="B46" i="2"/>
  <c r="F51" i="2"/>
  <c r="F58" i="2" s="1"/>
  <c r="B55" i="2"/>
  <c r="B61" i="2"/>
  <c r="B70" i="2"/>
  <c r="B76" i="2"/>
  <c r="B83" i="2"/>
  <c r="I12" i="3" l="1"/>
  <c r="F52" i="2"/>
  <c r="I10" i="2"/>
  <c r="H10" i="2" s="1"/>
  <c r="I12" i="2"/>
  <c r="H12" i="2" s="1"/>
  <c r="I11" i="2"/>
  <c r="H11" i="2" s="1"/>
  <c r="I13" i="2"/>
  <c r="H13" i="2" s="1"/>
  <c r="B57" i="2"/>
  <c r="C36" i="2"/>
  <c r="B42" i="2" s="1"/>
  <c r="J12" i="3" l="1"/>
  <c r="K12" i="3" l="1"/>
  <c r="L12" i="3" l="1"/>
  <c r="M12" i="3" l="1"/>
  <c r="N12" i="3" l="1"/>
  <c r="O12" i="3" l="1"/>
  <c r="P12" i="3" l="1"/>
  <c r="Q12" i="3" l="1"/>
  <c r="R12" i="3" l="1"/>
  <c r="S12" i="3" l="1"/>
  <c r="C4" i="3" l="1"/>
  <c r="C5" i="3" s="1"/>
  <c r="D19" i="3" s="1"/>
  <c r="F32" i="2" s="1"/>
  <c r="E13" i="3" l="1"/>
  <c r="E19" i="3" s="1"/>
  <c r="G32" i="2" s="1"/>
  <c r="S16" i="3"/>
  <c r="G13" i="3"/>
  <c r="G19" i="3" s="1"/>
  <c r="I32" i="2" s="1"/>
  <c r="F13" i="3"/>
  <c r="F19" i="3" s="1"/>
  <c r="H13" i="3"/>
  <c r="H19" i="3" s="1"/>
  <c r="J32" i="2" s="1"/>
  <c r="I13" i="3"/>
  <c r="I19" i="3" s="1"/>
  <c r="K32" i="2" s="1"/>
  <c r="J13" i="3"/>
  <c r="J19" i="3" s="1"/>
  <c r="L32" i="2" s="1"/>
  <c r="K13" i="3"/>
  <c r="K19" i="3" s="1"/>
  <c r="M32" i="2" s="1"/>
  <c r="L13" i="3"/>
  <c r="L19" i="3" s="1"/>
  <c r="N32" i="2" s="1"/>
  <c r="M13" i="3"/>
  <c r="M19" i="3" s="1"/>
  <c r="O32" i="2" s="1"/>
  <c r="N13" i="3"/>
  <c r="N19" i="3" s="1"/>
  <c r="P32" i="2" s="1"/>
  <c r="O13" i="3"/>
  <c r="O19" i="3" s="1"/>
  <c r="Q32" i="2" s="1"/>
  <c r="P13" i="3"/>
  <c r="P19" i="3" s="1"/>
  <c r="R32" i="2" s="1"/>
  <c r="Q13" i="3"/>
  <c r="Q19" i="3" s="1"/>
  <c r="S32" i="2" s="1"/>
  <c r="R13" i="3"/>
  <c r="S13" i="3"/>
  <c r="F40" i="2"/>
  <c r="F44" i="2" s="1"/>
  <c r="F45" i="2" s="1"/>
  <c r="F46" i="2" s="1"/>
  <c r="F53" i="2"/>
  <c r="S15" i="3"/>
  <c r="S17" i="3" s="1"/>
  <c r="F39" i="2"/>
  <c r="F25" i="2" s="1"/>
  <c r="R19" i="3" l="1"/>
  <c r="T32" i="2" s="1"/>
  <c r="H32" i="2"/>
  <c r="H15" i="2" s="1"/>
  <c r="S19" i="3"/>
  <c r="U32" i="2" s="1"/>
  <c r="F54" i="2"/>
  <c r="F47" i="2"/>
  <c r="F18" i="2"/>
  <c r="F41" i="2"/>
  <c r="G37" i="2" s="1"/>
  <c r="F42" i="2"/>
  <c r="F66" i="2"/>
  <c r="F55" i="2" l="1"/>
  <c r="M5" i="2"/>
  <c r="H30" i="2"/>
  <c r="H31" i="2" s="1"/>
  <c r="I15" i="2"/>
  <c r="I30" i="2" s="1"/>
  <c r="D7" i="2"/>
  <c r="F33" i="2"/>
  <c r="F67" i="2"/>
  <c r="F73" i="2"/>
  <c r="F68" i="2"/>
  <c r="F59" i="2"/>
  <c r="F56" i="2"/>
  <c r="G51" i="2" s="1"/>
  <c r="F57" i="2"/>
  <c r="G38" i="2"/>
  <c r="G40" i="2" s="1"/>
  <c r="G44" i="2" s="1"/>
  <c r="G43" i="2"/>
  <c r="G39" i="2"/>
  <c r="J15" i="2" l="1"/>
  <c r="I31" i="2"/>
  <c r="D5" i="2"/>
  <c r="D6" i="2"/>
  <c r="G41" i="2"/>
  <c r="H37" i="2" s="1"/>
  <c r="H38" i="2" s="1"/>
  <c r="H40" i="2" s="1"/>
  <c r="H44" i="2" s="1"/>
  <c r="G42" i="2"/>
  <c r="G18" i="2"/>
  <c r="G25" i="2"/>
  <c r="G53" i="2"/>
  <c r="G58" i="2"/>
  <c r="G52" i="2"/>
  <c r="G54" i="2"/>
  <c r="G45" i="2"/>
  <c r="F60" i="2"/>
  <c r="F69" i="2"/>
  <c r="J30" i="2" l="1"/>
  <c r="J31" i="2" s="1"/>
  <c r="K15" i="2"/>
  <c r="H39" i="2"/>
  <c r="H42" i="2" s="1"/>
  <c r="H43" i="2"/>
  <c r="H54" i="2"/>
  <c r="F61" i="2"/>
  <c r="H45" i="2"/>
  <c r="H46" i="2" s="1"/>
  <c r="H47" i="2" s="1"/>
  <c r="G46" i="2"/>
  <c r="K30" i="2" l="1"/>
  <c r="K31" i="2" s="1"/>
  <c r="L15" i="2"/>
  <c r="H25" i="2"/>
  <c r="H41" i="2"/>
  <c r="I37" i="2" s="1"/>
  <c r="I39" i="2" s="1"/>
  <c r="H18" i="2"/>
  <c r="F62" i="2"/>
  <c r="F70" i="2" s="1"/>
  <c r="G47" i="2"/>
  <c r="G55" i="2" s="1"/>
  <c r="L30" i="2" l="1"/>
  <c r="L31" i="2" s="1"/>
  <c r="M15" i="2"/>
  <c r="I38" i="2"/>
  <c r="I40" i="2" s="1"/>
  <c r="I44" i="2" s="1"/>
  <c r="I43" i="2"/>
  <c r="F74" i="2"/>
  <c r="F71" i="2"/>
  <c r="G66" i="2" s="1"/>
  <c r="F72" i="2"/>
  <c r="G59" i="2"/>
  <c r="G57" i="2"/>
  <c r="G56" i="2"/>
  <c r="H51" i="2" s="1"/>
  <c r="I25" i="2"/>
  <c r="I18" i="2"/>
  <c r="N15" i="2" l="1"/>
  <c r="M30" i="2"/>
  <c r="M31" i="2" s="1"/>
  <c r="I41" i="2"/>
  <c r="J37" i="2" s="1"/>
  <c r="J38" i="2" s="1"/>
  <c r="J40" i="2" s="1"/>
  <c r="I42" i="2"/>
  <c r="F75" i="2"/>
  <c r="G60" i="2"/>
  <c r="G61" i="2" s="1"/>
  <c r="G62" i="2" s="1"/>
  <c r="H53" i="2"/>
  <c r="H58" i="2"/>
  <c r="H52" i="2"/>
  <c r="H55" i="2" s="1"/>
  <c r="G68" i="2"/>
  <c r="G73" i="2"/>
  <c r="G67" i="2"/>
  <c r="G69" i="2"/>
  <c r="I54" i="2"/>
  <c r="I45" i="2"/>
  <c r="I46" i="2" s="1"/>
  <c r="I47" i="2" s="1"/>
  <c r="O15" i="2" l="1"/>
  <c r="N30" i="2"/>
  <c r="N31" i="2" s="1"/>
  <c r="J43" i="2"/>
  <c r="J39" i="2"/>
  <c r="J42" i="2" s="1"/>
  <c r="H57" i="2"/>
  <c r="H59" i="2"/>
  <c r="H56" i="2"/>
  <c r="I51" i="2" s="1"/>
  <c r="J44" i="2"/>
  <c r="G70" i="2"/>
  <c r="G74" i="2" s="1"/>
  <c r="F76" i="2"/>
  <c r="F77" i="2" s="1"/>
  <c r="F81" i="2" s="1"/>
  <c r="J25" i="2" l="1"/>
  <c r="J18" i="2"/>
  <c r="P15" i="2"/>
  <c r="O30" i="2"/>
  <c r="O31" i="2" s="1"/>
  <c r="J41" i="2"/>
  <c r="K37" i="2" s="1"/>
  <c r="K39" i="2" s="1"/>
  <c r="G72" i="2"/>
  <c r="F82" i="2"/>
  <c r="F24" i="2" s="1"/>
  <c r="F17" i="2"/>
  <c r="K38" i="2"/>
  <c r="H60" i="2"/>
  <c r="G75" i="2"/>
  <c r="G76" i="2" s="1"/>
  <c r="G77" i="2" s="1"/>
  <c r="G81" i="2" s="1"/>
  <c r="J54" i="2"/>
  <c r="J45" i="2"/>
  <c r="J46" i="2" s="1"/>
  <c r="J47" i="2" s="1"/>
  <c r="G71" i="2"/>
  <c r="H66" i="2" s="1"/>
  <c r="I52" i="2"/>
  <c r="I55" i="2" s="1"/>
  <c r="I59" i="2" s="1"/>
  <c r="I53" i="2"/>
  <c r="I58" i="2"/>
  <c r="P30" i="2" l="1"/>
  <c r="P31" i="2" s="1"/>
  <c r="Q15" i="2"/>
  <c r="K43" i="2"/>
  <c r="I60" i="2"/>
  <c r="I61" i="2" s="1"/>
  <c r="I62" i="2" s="1"/>
  <c r="G82" i="2"/>
  <c r="G83" i="2" s="1"/>
  <c r="G84" i="2" s="1"/>
  <c r="G17" i="2"/>
  <c r="G20" i="2" s="1"/>
  <c r="I57" i="2"/>
  <c r="K18" i="2"/>
  <c r="K25" i="2"/>
  <c r="F20" i="2"/>
  <c r="I56" i="2"/>
  <c r="J51" i="2" s="1"/>
  <c r="H61" i="2"/>
  <c r="H62" i="2" s="1"/>
  <c r="K40" i="2"/>
  <c r="K44" i="2" s="1"/>
  <c r="F27" i="2"/>
  <c r="H69" i="2"/>
  <c r="H68" i="2"/>
  <c r="H73" i="2"/>
  <c r="H67" i="2"/>
  <c r="F83" i="2"/>
  <c r="F84" i="2" s="1"/>
  <c r="Q30" i="2" l="1"/>
  <c r="Q31" i="2" s="1"/>
  <c r="R15" i="2"/>
  <c r="G24" i="2"/>
  <c r="G27" i="2" s="1"/>
  <c r="K41" i="2"/>
  <c r="L37" i="2" s="1"/>
  <c r="L43" i="2" s="1"/>
  <c r="K42" i="2"/>
  <c r="H70" i="2"/>
  <c r="H74" i="2" s="1"/>
  <c r="H75" i="2" s="1"/>
  <c r="H76" i="2" s="1"/>
  <c r="H77" i="2" s="1"/>
  <c r="H81" i="2" s="1"/>
  <c r="K54" i="2"/>
  <c r="K45" i="2"/>
  <c r="J53" i="2"/>
  <c r="J52" i="2"/>
  <c r="J55" i="2" s="1"/>
  <c r="J59" i="2" s="1"/>
  <c r="J58" i="2"/>
  <c r="R30" i="2" l="1"/>
  <c r="R31" i="2" s="1"/>
  <c r="S15" i="2"/>
  <c r="L39" i="2"/>
  <c r="L38" i="2"/>
  <c r="L40" i="2" s="1"/>
  <c r="L44" i="2" s="1"/>
  <c r="H72" i="2"/>
  <c r="J57" i="2"/>
  <c r="H71" i="2"/>
  <c r="I66" i="2" s="1"/>
  <c r="J60" i="2"/>
  <c r="H82" i="2"/>
  <c r="H83" i="2" s="1"/>
  <c r="H84" i="2" s="1"/>
  <c r="H17" i="2"/>
  <c r="J56" i="2"/>
  <c r="K51" i="2" s="1"/>
  <c r="K46" i="2"/>
  <c r="K47" i="2" s="1"/>
  <c r="S30" i="2" l="1"/>
  <c r="S31" i="2" s="1"/>
  <c r="T15" i="2"/>
  <c r="H24" i="2"/>
  <c r="H27" i="2" s="1"/>
  <c r="L42" i="2"/>
  <c r="L18" i="2"/>
  <c r="L41" i="2"/>
  <c r="M37" i="2" s="1"/>
  <c r="M39" i="2" s="1"/>
  <c r="L25" i="2"/>
  <c r="I67" i="2"/>
  <c r="I73" i="2"/>
  <c r="I68" i="2"/>
  <c r="I69" i="2"/>
  <c r="H20" i="2"/>
  <c r="K58" i="2"/>
  <c r="K53" i="2"/>
  <c r="K52" i="2"/>
  <c r="K55" i="2" s="1"/>
  <c r="K59" i="2" s="1"/>
  <c r="J61" i="2"/>
  <c r="J62" i="2" s="1"/>
  <c r="L54" i="2"/>
  <c r="L45" i="2"/>
  <c r="L46" i="2" s="1"/>
  <c r="L47" i="2" s="1"/>
  <c r="T30" i="2" l="1"/>
  <c r="T31" i="2" s="1"/>
  <c r="U15" i="2"/>
  <c r="U30" i="2" s="1"/>
  <c r="M43" i="2"/>
  <c r="M38" i="2"/>
  <c r="M40" i="2" s="1"/>
  <c r="K56" i="2"/>
  <c r="L51" i="2" s="1"/>
  <c r="L52" i="2" s="1"/>
  <c r="L55" i="2" s="1"/>
  <c r="K57" i="2"/>
  <c r="I70" i="2"/>
  <c r="K60" i="2"/>
  <c r="M25" i="2"/>
  <c r="M18" i="2"/>
  <c r="U31" i="2" l="1"/>
  <c r="M44" i="2"/>
  <c r="M45" i="2" s="1"/>
  <c r="M42" i="2"/>
  <c r="L58" i="2"/>
  <c r="M54" i="2"/>
  <c r="L53" i="2"/>
  <c r="L56" i="2" s="1"/>
  <c r="M51" i="2" s="1"/>
  <c r="I74" i="2"/>
  <c r="I71" i="2"/>
  <c r="J66" i="2" s="1"/>
  <c r="M41" i="2"/>
  <c r="N37" i="2" s="1"/>
  <c r="I72" i="2"/>
  <c r="L59" i="2"/>
  <c r="K61" i="2"/>
  <c r="K62" i="2" s="1"/>
  <c r="M46" i="2"/>
  <c r="M47" i="2" s="1"/>
  <c r="L57" i="2" l="1"/>
  <c r="J69" i="2"/>
  <c r="J73" i="2"/>
  <c r="J68" i="2"/>
  <c r="J67" i="2"/>
  <c r="N43" i="2"/>
  <c r="N38" i="2"/>
  <c r="N39" i="2"/>
  <c r="I75" i="2"/>
  <c r="I76" i="2" s="1"/>
  <c r="I77" i="2" s="1"/>
  <c r="I81" i="2" s="1"/>
  <c r="M53" i="2"/>
  <c r="M52" i="2"/>
  <c r="M55" i="2" s="1"/>
  <c r="M59" i="2" s="1"/>
  <c r="M58" i="2"/>
  <c r="L60" i="2"/>
  <c r="L61" i="2" s="1"/>
  <c r="L62" i="2" s="1"/>
  <c r="N18" i="2" l="1"/>
  <c r="N25" i="2"/>
  <c r="I82" i="2"/>
  <c r="I24" i="2" s="1"/>
  <c r="I27" i="2" s="1"/>
  <c r="I17" i="2"/>
  <c r="I20" i="2" s="1"/>
  <c r="N40" i="2"/>
  <c r="N44" i="2" s="1"/>
  <c r="J70" i="2"/>
  <c r="J74" i="2" s="1"/>
  <c r="J75" i="2" s="1"/>
  <c r="M60" i="2"/>
  <c r="M61" i="2" s="1"/>
  <c r="M62" i="2" s="1"/>
  <c r="M56" i="2"/>
  <c r="N51" i="2" s="1"/>
  <c r="M57" i="2"/>
  <c r="N42" i="2" l="1"/>
  <c r="N41" i="2"/>
  <c r="O37" i="2" s="1"/>
  <c r="O39" i="2" s="1"/>
  <c r="J72" i="2"/>
  <c r="J76" i="2"/>
  <c r="J77" i="2" s="1"/>
  <c r="J81" i="2" s="1"/>
  <c r="J82" i="2" s="1"/>
  <c r="J24" i="2" s="1"/>
  <c r="J71" i="2"/>
  <c r="K66" i="2" s="1"/>
  <c r="K67" i="2" s="1"/>
  <c r="N54" i="2"/>
  <c r="N45" i="2"/>
  <c r="N46" i="2" s="1"/>
  <c r="N47" i="2" s="1"/>
  <c r="I83" i="2"/>
  <c r="I84" i="2" s="1"/>
  <c r="N53" i="2"/>
  <c r="N52" i="2"/>
  <c r="N58" i="2"/>
  <c r="O38" i="2" l="1"/>
  <c r="O43" i="2"/>
  <c r="J17" i="2"/>
  <c r="K68" i="2"/>
  <c r="K73" i="2"/>
  <c r="K69" i="2"/>
  <c r="K70" i="2" s="1"/>
  <c r="K74" i="2" s="1"/>
  <c r="K75" i="2" s="1"/>
  <c r="K76" i="2" s="1"/>
  <c r="K77" i="2" s="1"/>
  <c r="K81" i="2" s="1"/>
  <c r="O18" i="2"/>
  <c r="O25" i="2"/>
  <c r="N55" i="2"/>
  <c r="N56" i="2" s="1"/>
  <c r="O51" i="2" s="1"/>
  <c r="J83" i="2"/>
  <c r="J84" i="2" s="1"/>
  <c r="J20" i="2"/>
  <c r="J27" i="2"/>
  <c r="O40" i="2" l="1"/>
  <c r="O41" i="2" s="1"/>
  <c r="P37" i="2" s="1"/>
  <c r="N59" i="2"/>
  <c r="K72" i="2"/>
  <c r="N57" i="2"/>
  <c r="K71" i="2"/>
  <c r="L66" i="2" s="1"/>
  <c r="L68" i="2" s="1"/>
  <c r="K82" i="2"/>
  <c r="K83" i="2" s="1"/>
  <c r="K84" i="2" s="1"/>
  <c r="K17" i="2"/>
  <c r="K20" i="2" s="1"/>
  <c r="O52" i="2"/>
  <c r="O58" i="2"/>
  <c r="O53" i="2"/>
  <c r="N60" i="2"/>
  <c r="N61" i="2" s="1"/>
  <c r="P39" i="2" l="1"/>
  <c r="P25" i="2" s="1"/>
  <c r="P43" i="2"/>
  <c r="P38" i="2"/>
  <c r="P40" i="2" s="1"/>
  <c r="P44" i="2" s="1"/>
  <c r="P54" i="2" s="1"/>
  <c r="O44" i="2"/>
  <c r="O42" i="2"/>
  <c r="L69" i="2"/>
  <c r="L73" i="2"/>
  <c r="L67" i="2"/>
  <c r="K24" i="2"/>
  <c r="K27" i="2" s="1"/>
  <c r="N62" i="2"/>
  <c r="P42" i="2" l="1"/>
  <c r="P18" i="2"/>
  <c r="P41" i="2"/>
  <c r="Q37" i="2" s="1"/>
  <c r="Q38" i="2" s="1"/>
  <c r="Q40" i="2" s="1"/>
  <c r="Q44" i="2" s="1"/>
  <c r="Q54" i="2" s="1"/>
  <c r="P45" i="2"/>
  <c r="P46" i="2" s="1"/>
  <c r="P47" i="2" s="1"/>
  <c r="L70" i="2"/>
  <c r="L74" i="2" s="1"/>
  <c r="L75" i="2" s="1"/>
  <c r="L76" i="2" s="1"/>
  <c r="L77" i="2" s="1"/>
  <c r="L81" i="2" s="1"/>
  <c r="O54" i="2"/>
  <c r="O45" i="2"/>
  <c r="O46" i="2" s="1"/>
  <c r="O47" i="2" s="1"/>
  <c r="Q39" i="2"/>
  <c r="Q43" i="2" l="1"/>
  <c r="L72" i="2"/>
  <c r="L71" i="2"/>
  <c r="M66" i="2" s="1"/>
  <c r="O55" i="2"/>
  <c r="O59" i="2" s="1"/>
  <c r="Q42" i="2"/>
  <c r="L17" i="2"/>
  <c r="L20" i="2" s="1"/>
  <c r="L82" i="2"/>
  <c r="L24" i="2" s="1"/>
  <c r="L27" i="2" s="1"/>
  <c r="Q45" i="2"/>
  <c r="Q46" i="2" s="1"/>
  <c r="Q47" i="2" s="1"/>
  <c r="Q41" i="2"/>
  <c r="R37" i="2" s="1"/>
  <c r="Q25" i="2"/>
  <c r="Q18" i="2"/>
  <c r="O57" i="2" l="1"/>
  <c r="O56" i="2"/>
  <c r="P51" i="2" s="1"/>
  <c r="M69" i="2"/>
  <c r="M73" i="2"/>
  <c r="M68" i="2"/>
  <c r="M67" i="2"/>
  <c r="O60" i="2"/>
  <c r="O61" i="2" s="1"/>
  <c r="O62" i="2" s="1"/>
  <c r="L83" i="2"/>
  <c r="L84" i="2" s="1"/>
  <c r="R38" i="2"/>
  <c r="R40" i="2" s="1"/>
  <c r="R44" i="2" s="1"/>
  <c r="R54" i="2" s="1"/>
  <c r="R43" i="2"/>
  <c r="R39" i="2"/>
  <c r="M70" i="2" l="1"/>
  <c r="P58" i="2"/>
  <c r="P52" i="2"/>
  <c r="P55" i="2" s="1"/>
  <c r="P59" i="2" s="1"/>
  <c r="P53" i="2"/>
  <c r="R41" i="2"/>
  <c r="S37" i="2" s="1"/>
  <c r="S38" i="2" s="1"/>
  <c r="S40" i="2" s="1"/>
  <c r="S44" i="2" s="1"/>
  <c r="S54" i="2" s="1"/>
  <c r="R25" i="2"/>
  <c r="R18" i="2"/>
  <c r="R42" i="2"/>
  <c r="R45" i="2"/>
  <c r="R46" i="2" s="1"/>
  <c r="R47" i="2" s="1"/>
  <c r="M74" i="2" l="1"/>
  <c r="M75" i="2" s="1"/>
  <c r="M76" i="2" s="1"/>
  <c r="M77" i="2" s="1"/>
  <c r="M81" i="2" s="1"/>
  <c r="M17" i="2" s="1"/>
  <c r="M20" i="2" s="1"/>
  <c r="M71" i="2"/>
  <c r="N66" i="2" s="1"/>
  <c r="M72" i="2"/>
  <c r="P60" i="2"/>
  <c r="P61" i="2" s="1"/>
  <c r="P62" i="2" s="1"/>
  <c r="P57" i="2"/>
  <c r="P56" i="2"/>
  <c r="Q51" i="2" s="1"/>
  <c r="S39" i="2"/>
  <c r="S41" i="2" s="1"/>
  <c r="T37" i="2" s="1"/>
  <c r="T43" i="2" s="1"/>
  <c r="S43" i="2"/>
  <c r="S45" i="2"/>
  <c r="S46" i="2" s="1"/>
  <c r="S47" i="2" s="1"/>
  <c r="S18" i="2" l="1"/>
  <c r="M82" i="2"/>
  <c r="M24" i="2" s="1"/>
  <c r="M27" i="2" s="1"/>
  <c r="N73" i="2"/>
  <c r="N68" i="2"/>
  <c r="N69" i="2"/>
  <c r="N67" i="2"/>
  <c r="Q58" i="2"/>
  <c r="Q53" i="2"/>
  <c r="Q52" i="2"/>
  <c r="Q55" i="2" s="1"/>
  <c r="T38" i="2"/>
  <c r="T40" i="2" s="1"/>
  <c r="S42" i="2"/>
  <c r="T39" i="2"/>
  <c r="T25" i="2" s="1"/>
  <c r="S25" i="2"/>
  <c r="M83" i="2" l="1"/>
  <c r="M84" i="2" s="1"/>
  <c r="Q56" i="2"/>
  <c r="R51" i="2" s="1"/>
  <c r="R58" i="2" s="1"/>
  <c r="Q59" i="2"/>
  <c r="Q60" i="2" s="1"/>
  <c r="Q61" i="2" s="1"/>
  <c r="Q62" i="2" s="1"/>
  <c r="Q57" i="2"/>
  <c r="N70" i="2"/>
  <c r="N74" i="2" s="1"/>
  <c r="N75" i="2" s="1"/>
  <c r="N76" i="2" s="1"/>
  <c r="N77" i="2" s="1"/>
  <c r="N81" i="2" s="1"/>
  <c r="N17" i="2" s="1"/>
  <c r="N20" i="2" s="1"/>
  <c r="R52" i="2"/>
  <c r="R55" i="2" s="1"/>
  <c r="R59" i="2" s="1"/>
  <c r="R60" i="2" s="1"/>
  <c r="T18" i="2"/>
  <c r="T44" i="2"/>
  <c r="T42" i="2"/>
  <c r="T41" i="2"/>
  <c r="U37" i="2" s="1"/>
  <c r="R53" i="2" l="1"/>
  <c r="R56" i="2" s="1"/>
  <c r="S51" i="2" s="1"/>
  <c r="R61" i="2"/>
  <c r="N82" i="2"/>
  <c r="N24" i="2" s="1"/>
  <c r="N27" i="2" s="1"/>
  <c r="N72" i="2"/>
  <c r="N71" i="2"/>
  <c r="O66" i="2" s="1"/>
  <c r="R57" i="2"/>
  <c r="N83" i="2"/>
  <c r="N84" i="2" s="1"/>
  <c r="U39" i="2"/>
  <c r="U43" i="2"/>
  <c r="U38" i="2"/>
  <c r="U40" i="2" s="1"/>
  <c r="U44" i="2" s="1"/>
  <c r="U54" i="2" s="1"/>
  <c r="T54" i="2"/>
  <c r="T45" i="2"/>
  <c r="T46" i="2" s="1"/>
  <c r="T47" i="2" s="1"/>
  <c r="R62" i="2"/>
  <c r="S58" i="2" l="1"/>
  <c r="S52" i="2"/>
  <c r="S53" i="2"/>
  <c r="O67" i="2"/>
  <c r="O69" i="2"/>
  <c r="O73" i="2"/>
  <c r="O68" i="2"/>
  <c r="U42" i="2"/>
  <c r="E42" i="2" s="1"/>
  <c r="U45" i="2"/>
  <c r="U46" i="2" s="1"/>
  <c r="U47" i="2" s="1"/>
  <c r="U18" i="2"/>
  <c r="D18" i="2" s="1"/>
  <c r="U25" i="2"/>
  <c r="D25" i="2" s="1"/>
  <c r="U41" i="2"/>
  <c r="O70" i="2" l="1"/>
  <c r="O74" i="2" s="1"/>
  <c r="S55" i="2"/>
  <c r="S59" i="2" s="1"/>
  <c r="S60" i="2" s="1"/>
  <c r="S61" i="2" s="1"/>
  <c r="S62" i="2" s="1"/>
  <c r="O72" i="2" l="1"/>
  <c r="O71" i="2"/>
  <c r="P66" i="2" s="1"/>
  <c r="P68" i="2" s="1"/>
  <c r="O75" i="2"/>
  <c r="O76" i="2" s="1"/>
  <c r="O77" i="2" s="1"/>
  <c r="O81" i="2" s="1"/>
  <c r="S57" i="2"/>
  <c r="S56" i="2"/>
  <c r="T51" i="2" s="1"/>
  <c r="P73" i="2" l="1"/>
  <c r="P67" i="2"/>
  <c r="P69" i="2"/>
  <c r="O82" i="2"/>
  <c r="O24" i="2" s="1"/>
  <c r="O27" i="2" s="1"/>
  <c r="O17" i="2"/>
  <c r="O20" i="2" s="1"/>
  <c r="T52" i="2"/>
  <c r="T55" i="2" s="1"/>
  <c r="T59" i="2" s="1"/>
  <c r="T60" i="2" s="1"/>
  <c r="T53" i="2"/>
  <c r="T58" i="2"/>
  <c r="P70" i="2" l="1"/>
  <c r="P71" i="2" s="1"/>
  <c r="Q66" i="2" s="1"/>
  <c r="T56" i="2"/>
  <c r="U51" i="2" s="1"/>
  <c r="U52" i="2" s="1"/>
  <c r="U55" i="2" s="1"/>
  <c r="U59" i="2" s="1"/>
  <c r="U60" i="2" s="1"/>
  <c r="U61" i="2" s="1"/>
  <c r="U62" i="2" s="1"/>
  <c r="T57" i="2"/>
  <c r="T61" i="2"/>
  <c r="T62" i="2" s="1"/>
  <c r="O83" i="2"/>
  <c r="O84" i="2" s="1"/>
  <c r="P74" i="2" l="1"/>
  <c r="P75" i="2" s="1"/>
  <c r="P76" i="2" s="1"/>
  <c r="P77" i="2" s="1"/>
  <c r="P81" i="2" s="1"/>
  <c r="P82" i="2" s="1"/>
  <c r="P24" i="2" s="1"/>
  <c r="P27" i="2" s="1"/>
  <c r="P72" i="2"/>
  <c r="U58" i="2"/>
  <c r="U53" i="2"/>
  <c r="U57" i="2" s="1"/>
  <c r="E57" i="2" s="1"/>
  <c r="Q68" i="2"/>
  <c r="Q69" i="2"/>
  <c r="Q73" i="2"/>
  <c r="Q67" i="2"/>
  <c r="P17" i="2" l="1"/>
  <c r="P20" i="2" s="1"/>
  <c r="U56" i="2"/>
  <c r="Q70" i="2"/>
  <c r="Q74" i="2" s="1"/>
  <c r="Q75" i="2" s="1"/>
  <c r="Q76" i="2" s="1"/>
  <c r="Q77" i="2" s="1"/>
  <c r="Q81" i="2" s="1"/>
  <c r="P83" i="2"/>
  <c r="P84" i="2" s="1"/>
  <c r="Q71" i="2" l="1"/>
  <c r="R66" i="2" s="1"/>
  <c r="Q72" i="2"/>
  <c r="R73" i="2"/>
  <c r="R69" i="2"/>
  <c r="R67" i="2"/>
  <c r="R68" i="2"/>
  <c r="Q82" i="2"/>
  <c r="Q24" i="2" s="1"/>
  <c r="Q27" i="2" s="1"/>
  <c r="Q17" i="2"/>
  <c r="Q20" i="2" s="1"/>
  <c r="R70" i="2" l="1"/>
  <c r="R74" i="2" s="1"/>
  <c r="R75" i="2" s="1"/>
  <c r="R76" i="2" s="1"/>
  <c r="R77" i="2" s="1"/>
  <c r="R81" i="2" s="1"/>
  <c r="R17" i="2" s="1"/>
  <c r="R20" i="2" s="1"/>
  <c r="Q83" i="2"/>
  <c r="Q84" i="2" s="1"/>
  <c r="R71" i="2" l="1"/>
  <c r="S66" i="2" s="1"/>
  <c r="S68" i="2" s="1"/>
  <c r="R72" i="2"/>
  <c r="R82" i="2"/>
  <c r="R24" i="2" s="1"/>
  <c r="R27" i="2" s="1"/>
  <c r="S69" i="2" l="1"/>
  <c r="S67" i="2"/>
  <c r="S70" i="2" s="1"/>
  <c r="S74" i="2" s="1"/>
  <c r="S73" i="2"/>
  <c r="R83" i="2"/>
  <c r="R84" i="2" s="1"/>
  <c r="S75" i="2" l="1"/>
  <c r="S76" i="2" s="1"/>
  <c r="S77" i="2" s="1"/>
  <c r="S81" i="2" s="1"/>
  <c r="S72" i="2"/>
  <c r="S71" i="2"/>
  <c r="T66" i="2" s="1"/>
  <c r="T68" i="2" l="1"/>
  <c r="T69" i="2"/>
  <c r="T67" i="2"/>
  <c r="T70" i="2" s="1"/>
  <c r="T74" i="2" s="1"/>
  <c r="T75" i="2" s="1"/>
  <c r="T73" i="2"/>
  <c r="S82" i="2"/>
  <c r="S24" i="2" s="1"/>
  <c r="S27" i="2" s="1"/>
  <c r="S17" i="2"/>
  <c r="S20" i="2" s="1"/>
  <c r="S83" i="2" l="1"/>
  <c r="S84" i="2" s="1"/>
  <c r="T72" i="2"/>
  <c r="T76" i="2"/>
  <c r="T77" i="2" s="1"/>
  <c r="T81" i="2" s="1"/>
  <c r="T17" i="2" s="1"/>
  <c r="T20" i="2" s="1"/>
  <c r="T71" i="2"/>
  <c r="U66" i="2" s="1"/>
  <c r="U73" i="2" l="1"/>
  <c r="U68" i="2"/>
  <c r="U67" i="2"/>
  <c r="U69" i="2"/>
  <c r="T82" i="2"/>
  <c r="T24" i="2" s="1"/>
  <c r="T27" i="2" s="1"/>
  <c r="U70" i="2" l="1"/>
  <c r="U72" i="2" s="1"/>
  <c r="E72" i="2" s="1"/>
  <c r="T83" i="2"/>
  <c r="T84" i="2" s="1"/>
  <c r="U71" i="2" l="1"/>
  <c r="U74" i="2"/>
  <c r="U75" i="2" s="1"/>
  <c r="U76" i="2" s="1"/>
  <c r="U77" i="2" s="1"/>
  <c r="U81" i="2" s="1"/>
  <c r="U17" i="2" s="1"/>
  <c r="U20" i="2" s="1"/>
  <c r="D20" i="2" s="1"/>
  <c r="G2" i="3" s="1"/>
  <c r="U82" i="2" l="1"/>
  <c r="U24" i="2" s="1"/>
  <c r="D24" i="2" s="1"/>
  <c r="D28" i="2" s="1"/>
  <c r="D17" i="2"/>
  <c r="U83" i="2" l="1"/>
  <c r="U84" i="2" s="1"/>
  <c r="U27" i="2"/>
  <c r="D27" i="2" s="1"/>
  <c r="D26" i="2"/>
  <c r="D21" i="2"/>
  <c r="D19" i="2"/>
  <c r="M4" i="2" l="1"/>
  <c r="M3" i="2" s="1"/>
</calcChain>
</file>

<file path=xl/sharedStrings.xml><?xml version="1.0" encoding="utf-8"?>
<sst xmlns="http://schemas.openxmlformats.org/spreadsheetml/2006/main" count="101" uniqueCount="64">
  <si>
    <t>Cash Flow Remaining</t>
  </si>
  <si>
    <t>Distribution to Sponsor</t>
  </si>
  <si>
    <t>Distribution to LP</t>
  </si>
  <si>
    <t>N/A</t>
  </si>
  <si>
    <t>LP Req'd Return</t>
  </si>
  <si>
    <t>Hurdle 4</t>
  </si>
  <si>
    <t>.</t>
  </si>
  <si>
    <t>Ending Balance (LP Capital Account)</t>
  </si>
  <si>
    <t>Prior Distributions</t>
  </si>
  <si>
    <t>Contributions from LP</t>
  </si>
  <si>
    <t>Req'd Return by LP (Pref)</t>
  </si>
  <si>
    <t>Beginning Balance (LP Capital Account)</t>
  </si>
  <si>
    <t>Hurdle 3</t>
  </si>
  <si>
    <t>Hurdle 2</t>
  </si>
  <si>
    <t>Distributions to LP (Hurdle 1)</t>
  </si>
  <si>
    <t>Hurdle 1</t>
  </si>
  <si>
    <t>Levered IRR</t>
  </si>
  <si>
    <t>Year Ending</t>
  </si>
  <si>
    <t>Year 0</t>
  </si>
  <si>
    <t>Net Cash Flow For Distribution</t>
  </si>
  <si>
    <t>Sponsor Equity Multiple</t>
  </si>
  <si>
    <t>Sponsor IRR</t>
  </si>
  <si>
    <t>Total Sponsor Profit</t>
  </si>
  <si>
    <t>Total Sponsor Contributions</t>
  </si>
  <si>
    <t>Total Sponsor Distributions</t>
  </si>
  <si>
    <t>Sponsor Returns</t>
  </si>
  <si>
    <t>LP Equity Multiple</t>
  </si>
  <si>
    <t>LP IRR</t>
  </si>
  <si>
    <t>Total LP Profit</t>
  </si>
  <si>
    <t>Total LP Contributions</t>
  </si>
  <si>
    <t>Total LP Distributions</t>
  </si>
  <si>
    <t>Limited Partner (LP) Returns</t>
  </si>
  <si>
    <t>Summary of Investor Level Returns</t>
  </si>
  <si>
    <t>Hurdle 1 (Preferred Return)</t>
  </si>
  <si>
    <t>LP %</t>
  </si>
  <si>
    <t>Sponsor %</t>
  </si>
  <si>
    <t>LP Share</t>
  </si>
  <si>
    <t>Sponsor Promote</t>
  </si>
  <si>
    <t>Promote Structure</t>
  </si>
  <si>
    <t>LP Investors</t>
  </si>
  <si>
    <t>Sponsor</t>
  </si>
  <si>
    <t>Amount</t>
  </si>
  <si>
    <t>%</t>
  </si>
  <si>
    <t>Investor Level Returns - Equity Waterfall</t>
  </si>
  <si>
    <t>Equity Contributions</t>
  </si>
  <si>
    <t>Levered Before Tax Cash Flow</t>
  </si>
  <si>
    <t>Total Equity</t>
  </si>
  <si>
    <t>Error Check</t>
  </si>
  <si>
    <t>Profit Distributed</t>
  </si>
  <si>
    <t>Net BTCF</t>
  </si>
  <si>
    <t>Purchase Price</t>
  </si>
  <si>
    <t>Debt</t>
  </si>
  <si>
    <t>Equity Investment</t>
  </si>
  <si>
    <t>Cash Flow after Financing</t>
  </si>
  <si>
    <t>Disposition Value</t>
  </si>
  <si>
    <t>Loan Payoff</t>
  </si>
  <si>
    <t>Net Proceeds from Sale</t>
  </si>
  <si>
    <t>LTV</t>
  </si>
  <si>
    <t>Net Operating Income</t>
  </si>
  <si>
    <t>Terminal Cap Rate</t>
  </si>
  <si>
    <t>Net Cash Flow</t>
  </si>
  <si>
    <t>NOI Growth Rate</t>
  </si>
  <si>
    <t>Data Table</t>
  </si>
  <si>
    <t>NOI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</si>
</sst>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8" formatCode="&quot;$&quot;#,##0.00_);[Red]\(&quot;$&quot;#,##0.00\)"/>
    <numFmt numFmtId="164" formatCode="0.0%"/>
    <numFmt numFmtId="165" formatCode="&quot;LP Check -&quot;\ 0.0%\ &quot;IRR&quot;"/>
    <numFmt numFmtId="166" formatCode="[$-409]d\-mmm\-yy;@"/>
    <numFmt numFmtId="167" formatCode="&quot;Year&quot;\ 0"/>
    <numFmt numFmtId="168" formatCode="&quot; up to &quot;0.0%\ \I\R\R&quot; to LP&quot;"/>
    <numFmt numFmtId="169" formatCode="0.00&quot;x&quot;"/>
    <numFmt numFmtId="170" formatCode="&quot;&gt;&quot;\ 0.0%\ \I\R\R&quot; to LP&quot;"/>
    <numFmt numFmtId="171" formatCode="&quot; Up to &quot;0.0%\ \I\R\R&quot; to LP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8"/>
      </left>
      <right/>
      <top style="thick">
        <color theme="8"/>
      </top>
      <bottom style="thin">
        <color auto="1"/>
      </bottom>
      <diagonal/>
    </border>
    <border>
      <left/>
      <right/>
      <top style="thick">
        <color theme="8"/>
      </top>
      <bottom style="thin">
        <color auto="1"/>
      </bottom>
      <diagonal/>
    </border>
    <border>
      <left/>
      <right/>
      <top style="thick">
        <color theme="8"/>
      </top>
      <bottom/>
      <diagonal/>
    </border>
    <border>
      <left/>
      <right style="thick">
        <color theme="8"/>
      </right>
      <top style="thick">
        <color theme="8"/>
      </top>
      <bottom style="thin">
        <color auto="1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n">
        <color auto="1"/>
      </bottom>
      <diagonal/>
    </border>
    <border>
      <left/>
      <right style="thick">
        <color theme="8"/>
      </right>
      <top/>
      <bottom style="thin">
        <color auto="1"/>
      </bottom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</borders>
  <cellStyleXfs count="2">
    <xf numFmtId="0" fontId="0" fillId="0" borderId="0"/>
    <xf numFmtId="0" fontId="9" fillId="0" borderId="0"/>
  </cellStyleXfs>
  <cellXfs count="8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/>
    <xf numFmtId="0" fontId="2" fillId="3" borderId="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right" vertical="center"/>
    </xf>
    <xf numFmtId="6" fontId="11" fillId="3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6" fontId="11" fillId="3" borderId="7" xfId="0" applyNumberFormat="1" applyFont="1" applyFill="1" applyBorder="1" applyAlignment="1">
      <alignment horizontal="center" vertical="center"/>
    </xf>
    <xf numFmtId="0" fontId="0" fillId="3" borderId="1" xfId="0" applyFill="1" applyBorder="1"/>
    <xf numFmtId="170" fontId="6" fillId="3" borderId="1" xfId="0" applyNumberFormat="1" applyFont="1" applyFill="1" applyBorder="1"/>
    <xf numFmtId="168" fontId="5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7" fontId="0" fillId="3" borderId="1" xfId="0" applyNumberFormat="1" applyFill="1" applyBorder="1" applyAlignment="1">
      <alignment horizontal="center"/>
    </xf>
    <xf numFmtId="164" fontId="3" fillId="3" borderId="1" xfId="0" applyNumberFormat="1" applyFont="1" applyFill="1" applyBorder="1"/>
    <xf numFmtId="0" fontId="8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13" xfId="0" applyFill="1" applyBorder="1"/>
    <xf numFmtId="0" fontId="4" fillId="3" borderId="14" xfId="0" applyFont="1" applyFill="1" applyBorder="1"/>
    <xf numFmtId="0" fontId="4" fillId="3" borderId="0" xfId="0" applyFont="1" applyFill="1" applyBorder="1" applyAlignment="1">
      <alignment horizontal="left"/>
    </xf>
    <xf numFmtId="6" fontId="5" fillId="3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9" fontId="6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71" fontId="5" fillId="3" borderId="0" xfId="0" applyNumberFormat="1" applyFont="1" applyFill="1" applyBorder="1" applyAlignment="1">
      <alignment horizontal="left"/>
    </xf>
    <xf numFmtId="9" fontId="5" fillId="3" borderId="0" xfId="0" applyNumberFormat="1" applyFon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70" fontId="6" fillId="3" borderId="0" xfId="0" applyNumberFormat="1" applyFont="1" applyFill="1" applyBorder="1"/>
    <xf numFmtId="168" fontId="5" fillId="3" borderId="0" xfId="0" applyNumberFormat="1" applyFont="1" applyFill="1" applyBorder="1" applyAlignment="1">
      <alignment horizontal="left"/>
    </xf>
    <xf numFmtId="167" fontId="0" fillId="3" borderId="15" xfId="0" applyNumberFormat="1" applyFill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0" fillId="3" borderId="12" xfId="0" applyFill="1" applyBorder="1" applyAlignment="1">
      <alignment horizontal="left" indent="1"/>
    </xf>
    <xf numFmtId="6" fontId="5" fillId="3" borderId="0" xfId="0" applyNumberFormat="1" applyFont="1" applyFill="1" applyBorder="1"/>
    <xf numFmtId="3" fontId="5" fillId="3" borderId="0" xfId="0" applyNumberFormat="1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horizontal="center"/>
    </xf>
    <xf numFmtId="10" fontId="5" fillId="3" borderId="0" xfId="0" applyNumberFormat="1" applyFont="1" applyFill="1" applyBorder="1"/>
    <xf numFmtId="169" fontId="5" fillId="3" borderId="0" xfId="0" applyNumberFormat="1" applyFont="1" applyFill="1" applyBorder="1"/>
    <xf numFmtId="0" fontId="10" fillId="3" borderId="12" xfId="0" applyFont="1" applyFill="1" applyBorder="1" applyAlignment="1">
      <alignment horizontal="left" indent="1"/>
    </xf>
    <xf numFmtId="0" fontId="10" fillId="3" borderId="0" xfId="0" applyFont="1" applyFill="1" applyBorder="1"/>
    <xf numFmtId="6" fontId="10" fillId="3" borderId="0" xfId="0" applyNumberFormat="1" applyFont="1" applyFill="1" applyBorder="1"/>
    <xf numFmtId="166" fontId="0" fillId="3" borderId="0" xfId="0" applyNumberFormat="1" applyFill="1" applyBorder="1" applyAlignment="1">
      <alignment horizontal="center"/>
    </xf>
    <xf numFmtId="166" fontId="0" fillId="3" borderId="13" xfId="0" applyNumberFormat="1" applyFill="1" applyBorder="1" applyAlignment="1">
      <alignment horizontal="center"/>
    </xf>
    <xf numFmtId="3" fontId="0" fillId="3" borderId="0" xfId="0" applyNumberFormat="1" applyFill="1" applyBorder="1"/>
    <xf numFmtId="0" fontId="0" fillId="3" borderId="0" xfId="0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/>
    </xf>
    <xf numFmtId="0" fontId="4" fillId="3" borderId="12" xfId="0" applyFont="1" applyFill="1" applyBorder="1"/>
    <xf numFmtId="0" fontId="3" fillId="3" borderId="14" xfId="0" applyFont="1" applyFill="1" applyBorder="1"/>
    <xf numFmtId="0" fontId="0" fillId="3" borderId="15" xfId="0" applyFill="1" applyBorder="1"/>
    <xf numFmtId="3" fontId="0" fillId="3" borderId="0" xfId="0" applyNumberForma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165" fontId="0" fillId="3" borderId="12" xfId="0" applyNumberFormat="1" applyFill="1" applyBorder="1" applyAlignment="1">
      <alignment horizontal="left"/>
    </xf>
    <xf numFmtId="0" fontId="2" fillId="3" borderId="12" xfId="0" applyFont="1" applyFill="1" applyBorder="1"/>
    <xf numFmtId="0" fontId="2" fillId="3" borderId="0" xfId="0" applyFont="1" applyFill="1" applyBorder="1"/>
    <xf numFmtId="0" fontId="2" fillId="3" borderId="13" xfId="0" applyFon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3" fontId="0" fillId="3" borderId="17" xfId="0" applyNumberFormat="1" applyFill="1" applyBorder="1" applyAlignment="1">
      <alignment horizontal="center"/>
    </xf>
    <xf numFmtId="3" fontId="0" fillId="3" borderId="18" xfId="0" applyNumberFormat="1" applyFill="1" applyBorder="1" applyAlignment="1">
      <alignment horizontal="center"/>
    </xf>
    <xf numFmtId="164" fontId="6" fillId="3" borderId="0" xfId="0" applyNumberFormat="1" applyFont="1" applyFill="1" applyBorder="1" applyAlignment="1" applyProtection="1">
      <alignment horizontal="center"/>
      <protection locked="0"/>
    </xf>
    <xf numFmtId="170" fontId="6" fillId="3" borderId="0" xfId="0" applyNumberFormat="1" applyFont="1" applyFill="1" applyBorder="1" applyProtection="1">
      <protection locked="0"/>
    </xf>
    <xf numFmtId="9" fontId="6" fillId="3" borderId="0" xfId="0" applyNumberFormat="1" applyFont="1" applyFill="1" applyBorder="1" applyAlignment="1" applyProtection="1">
      <alignment horizontal="center"/>
      <protection locked="0"/>
    </xf>
    <xf numFmtId="166" fontId="6" fillId="3" borderId="0" xfId="0" applyNumberFormat="1" applyFont="1" applyFill="1" applyBorder="1" applyAlignment="1" applyProtection="1">
      <alignment horizontal="center"/>
      <protection locked="0"/>
    </xf>
    <xf numFmtId="10" fontId="0" fillId="3" borderId="0" xfId="0" applyNumberFormat="1" applyFill="1" applyBorder="1"/>
    <xf numFmtId="8" fontId="0" fillId="0" borderId="0" xfId="0" applyNumberFormat="1"/>
    <xf numFmtId="6" fontId="0" fillId="0" borderId="0" xfId="0" applyNumberFormat="1"/>
    <xf numFmtId="3" fontId="5" fillId="3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167" fontId="0" fillId="0" borderId="0" xfId="0" applyNumberFormat="1"/>
    <xf numFmtId="9" fontId="6" fillId="0" borderId="0" xfId="0" applyNumberFormat="1" applyFont="1"/>
    <xf numFmtId="6" fontId="6" fillId="0" borderId="0" xfId="0" applyNumberFormat="1" applyFont="1"/>
    <xf numFmtId="164" fontId="6" fillId="0" borderId="0" xfId="0" applyNumberFormat="1" applyFont="1"/>
    <xf numFmtId="3" fontId="5" fillId="3" borderId="13" xfId="0" applyNumberFormat="1" applyFont="1" applyFill="1" applyBorder="1" applyAlignment="1" applyProtection="1">
      <alignment horizontal="center"/>
      <protection locked="0"/>
    </xf>
    <xf numFmtId="6" fontId="0" fillId="0" borderId="0" xfId="0" applyNumberFormat="1" applyAlignment="1">
      <alignment horizontal="right"/>
    </xf>
    <xf numFmtId="0" fontId="1" fillId="0" borderId="0" xfId="0" applyFont="1"/>
    <xf numFmtId="10" fontId="6" fillId="0" borderId="0" xfId="0" applyNumberFormat="1" applyFon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 textRotation="90"/>
    </xf>
  </cellXfs>
  <cellStyles count="2">
    <cellStyle name="Normal" xfId="0" builtinId="0"/>
    <cellStyle name="Normal 4" xfId="1"/>
  </cellStyles>
  <dxfs count="1">
    <dxf>
      <font>
        <color theme="9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89647</xdr:colOff>
      <xdr:row>31</xdr:row>
      <xdr:rowOff>11206</xdr:rowOff>
    </xdr:from>
    <xdr:to>
      <xdr:col>27</xdr:col>
      <xdr:colOff>493059</xdr:colOff>
      <xdr:row>35</xdr:row>
      <xdr:rowOff>78442</xdr:rowOff>
    </xdr:to>
    <xdr:sp macro="" textlink="">
      <xdr:nvSpPr>
        <xdr:cNvPr id="2" name="TextBox 1"/>
        <xdr:cNvSpPr txBox="1"/>
      </xdr:nvSpPr>
      <xdr:spPr>
        <a:xfrm>
          <a:off x="18476259" y="5676900"/>
          <a:ext cx="4168588" cy="80234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&lt;---- Bring in your equity</a:t>
          </a:r>
          <a:r>
            <a:rPr lang="en-US" sz="1100" b="1" baseline="0"/>
            <a:t> cashflow here (Before tax cash flow, but after debt service.)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4</xdr:col>
      <xdr:colOff>156883</xdr:colOff>
      <xdr:row>4</xdr:row>
      <xdr:rowOff>1</xdr:rowOff>
    </xdr:from>
    <xdr:to>
      <xdr:col>8</xdr:col>
      <xdr:colOff>694764</xdr:colOff>
      <xdr:row>7</xdr:row>
      <xdr:rowOff>22413</xdr:rowOff>
    </xdr:to>
    <xdr:sp macro="" textlink="">
      <xdr:nvSpPr>
        <xdr:cNvPr id="3" name="TextBox 2"/>
        <xdr:cNvSpPr txBox="1"/>
      </xdr:nvSpPr>
      <xdr:spPr>
        <a:xfrm>
          <a:off x="3160059" y="784413"/>
          <a:ext cx="4538381" cy="40341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&lt;---- Bring in equity contribution, by partner,</a:t>
          </a:r>
          <a:r>
            <a:rPr lang="en-US" sz="1100" b="1" baseline="0"/>
            <a:t> here.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9</xdr:col>
      <xdr:colOff>257735</xdr:colOff>
      <xdr:row>8</xdr:row>
      <xdr:rowOff>201704</xdr:rowOff>
    </xdr:from>
    <xdr:to>
      <xdr:col>16</xdr:col>
      <xdr:colOff>0</xdr:colOff>
      <xdr:row>13</xdr:row>
      <xdr:rowOff>123263</xdr:rowOff>
    </xdr:to>
    <xdr:sp macro="" textlink="">
      <xdr:nvSpPr>
        <xdr:cNvPr id="4" name="TextBox 3"/>
        <xdr:cNvSpPr txBox="1"/>
      </xdr:nvSpPr>
      <xdr:spPr>
        <a:xfrm>
          <a:off x="8113059" y="1557616"/>
          <a:ext cx="5771029" cy="88526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&lt;---- Input</a:t>
          </a:r>
          <a:r>
            <a:rPr lang="en-US" sz="1100" b="1" baseline="0"/>
            <a:t> promote structure here.</a:t>
          </a:r>
          <a:endParaRPr lang="en-US" sz="1100"/>
        </a:p>
      </xdr:txBody>
    </xdr:sp>
    <xdr:clientData/>
  </xdr:twoCellAnchor>
  <xdr:twoCellAnchor>
    <xdr:from>
      <xdr:col>4</xdr:col>
      <xdr:colOff>22411</xdr:colOff>
      <xdr:row>16</xdr:row>
      <xdr:rowOff>33618</xdr:rowOff>
    </xdr:from>
    <xdr:to>
      <xdr:col>5</xdr:col>
      <xdr:colOff>0</xdr:colOff>
      <xdr:row>28</xdr:row>
      <xdr:rowOff>179294</xdr:rowOff>
    </xdr:to>
    <xdr:sp macro="" textlink="">
      <xdr:nvSpPr>
        <xdr:cNvPr id="5" name="TextBox 4"/>
        <xdr:cNvSpPr txBox="1"/>
      </xdr:nvSpPr>
      <xdr:spPr>
        <a:xfrm>
          <a:off x="3025587" y="2935942"/>
          <a:ext cx="1344707" cy="243167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&lt;---- Return results based</a:t>
          </a:r>
          <a:r>
            <a:rPr lang="en-US" sz="1100" b="1" baseline="0"/>
            <a:t> on assumed promote structure, equity contribution split, and equity cashflow stream.</a:t>
          </a:r>
        </a:p>
        <a:p>
          <a:r>
            <a:rPr lang="en-US" sz="1100" b="1" baseline="0"/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&lt;----</a:t>
          </a:r>
          <a:endParaRPr lang="en-US" sz="1100" b="1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Y85"/>
  <sheetViews>
    <sheetView showGridLines="0" zoomScale="85" zoomScaleNormal="85" zoomScaleSheetLayoutView="85" workbookViewId="0">
      <selection activeCell="F33" sqref="F33"/>
    </sheetView>
  </sheetViews>
  <sheetFormatPr defaultColWidth="9.140625" defaultRowHeight="15" x14ac:dyDescent="0.25"/>
  <cols>
    <col min="1" max="1" width="2.85546875" style="1" customWidth="1"/>
    <col min="2" max="2" width="21.5703125" style="1" customWidth="1"/>
    <col min="3" max="3" width="6.140625" style="1" bestFit="1" customWidth="1"/>
    <col min="4" max="4" width="16.140625" style="1" bestFit="1" customWidth="1"/>
    <col min="5" max="5" width="20.42578125" style="1" customWidth="1"/>
    <col min="6" max="6" width="16.7109375" style="2" bestFit="1" customWidth="1"/>
    <col min="7" max="11" width="10.28515625" style="2" bestFit="1" customWidth="1"/>
    <col min="12" max="12" width="12.85546875" style="2" bestFit="1" customWidth="1"/>
    <col min="13" max="16" width="10.28515625" style="2" bestFit="1" customWidth="1"/>
    <col min="17" max="21" width="10.28515625" style="1" bestFit="1" customWidth="1"/>
    <col min="22" max="16384" width="9.140625" style="1"/>
  </cols>
  <sheetData>
    <row r="1" spans="2:21" ht="15.75" thickBot="1" x14ac:dyDescent="0.3"/>
    <row r="2" spans="2:21" ht="17.25" thickTop="1" thickBot="1" x14ac:dyDescent="0.3">
      <c r="B2" s="18" t="s">
        <v>43</v>
      </c>
      <c r="C2" s="19"/>
      <c r="D2" s="19"/>
      <c r="E2" s="19"/>
      <c r="F2" s="20"/>
      <c r="G2" s="20"/>
      <c r="H2" s="20"/>
      <c r="I2" s="20"/>
      <c r="J2" s="20"/>
      <c r="K2" s="20"/>
      <c r="L2" s="21"/>
      <c r="M2" s="21"/>
      <c r="N2" s="20"/>
      <c r="O2" s="20"/>
      <c r="P2" s="20"/>
      <c r="Q2" s="20"/>
      <c r="R2" s="20"/>
      <c r="S2" s="20"/>
      <c r="T2" s="20"/>
      <c r="U2" s="22"/>
    </row>
    <row r="3" spans="2:21" x14ac:dyDescent="0.25">
      <c r="B3" s="23"/>
      <c r="C3" s="24"/>
      <c r="D3" s="24"/>
      <c r="E3" s="24"/>
      <c r="F3" s="25"/>
      <c r="G3" s="25"/>
      <c r="H3" s="25"/>
      <c r="I3" s="25"/>
      <c r="J3" s="25"/>
      <c r="K3" s="25"/>
      <c r="L3" s="5" t="s">
        <v>47</v>
      </c>
      <c r="M3" s="6" t="str">
        <f>IF(M4=M4,"OK","Error")</f>
        <v>OK</v>
      </c>
      <c r="N3" s="25"/>
      <c r="O3" s="25"/>
      <c r="P3" s="25"/>
      <c r="Q3" s="24"/>
      <c r="R3" s="24"/>
      <c r="S3" s="24"/>
      <c r="T3" s="24"/>
      <c r="U3" s="26"/>
    </row>
    <row r="4" spans="2:21" ht="15.75" x14ac:dyDescent="0.25">
      <c r="B4" s="27" t="s">
        <v>44</v>
      </c>
      <c r="C4" s="7" t="s">
        <v>42</v>
      </c>
      <c r="D4" s="7" t="s">
        <v>41</v>
      </c>
      <c r="E4" s="24"/>
      <c r="F4" s="28"/>
      <c r="G4" s="25"/>
      <c r="H4" s="25"/>
      <c r="I4" s="25"/>
      <c r="J4" s="25"/>
      <c r="K4" s="25"/>
      <c r="L4" s="8" t="s">
        <v>48</v>
      </c>
      <c r="M4" s="9">
        <f>D19+D26</f>
        <v>28129001.568077311</v>
      </c>
      <c r="N4" s="25"/>
      <c r="O4" s="25"/>
      <c r="P4" s="25"/>
      <c r="Q4" s="24"/>
      <c r="R4" s="24"/>
      <c r="S4" s="24"/>
      <c r="T4" s="24"/>
      <c r="U4" s="26"/>
    </row>
    <row r="5" spans="2:21" ht="15.75" thickBot="1" x14ac:dyDescent="0.3">
      <c r="B5" s="23" t="s">
        <v>40</v>
      </c>
      <c r="C5" s="67">
        <v>0.1</v>
      </c>
      <c r="D5" s="29">
        <f>Equity_Share_Sponsor*Total_Equity</f>
        <v>1400000</v>
      </c>
      <c r="E5" s="24"/>
      <c r="F5" s="30"/>
      <c r="G5" s="31"/>
      <c r="H5" s="25"/>
      <c r="I5" s="25"/>
      <c r="J5" s="25"/>
      <c r="K5" s="25"/>
      <c r="L5" s="10" t="s">
        <v>49</v>
      </c>
      <c r="M5" s="11">
        <f>SUM(F32:U32)</f>
        <v>28129001.568077311</v>
      </c>
      <c r="N5" s="25"/>
      <c r="O5" s="25"/>
      <c r="P5" s="25"/>
      <c r="Q5" s="24"/>
      <c r="R5" s="24"/>
      <c r="S5" s="24"/>
      <c r="T5" s="24"/>
      <c r="U5" s="26"/>
    </row>
    <row r="6" spans="2:21" x14ac:dyDescent="0.25">
      <c r="B6" s="23" t="s">
        <v>39</v>
      </c>
      <c r="C6" s="32">
        <f>1-C5</f>
        <v>0.9</v>
      </c>
      <c r="D6" s="29">
        <f>Total_Equity*Equity_Share_LP</f>
        <v>12600000</v>
      </c>
      <c r="E6" s="24"/>
      <c r="F6" s="30"/>
      <c r="G6" s="31"/>
      <c r="H6" s="25"/>
      <c r="I6" s="25"/>
      <c r="J6" s="25"/>
      <c r="K6" s="25"/>
      <c r="L6" s="25"/>
      <c r="M6" s="25"/>
      <c r="N6" s="25"/>
      <c r="O6" s="25"/>
      <c r="P6" s="25"/>
      <c r="Q6" s="24"/>
      <c r="R6" s="24"/>
      <c r="S6" s="24"/>
      <c r="T6" s="24"/>
      <c r="U6" s="26"/>
    </row>
    <row r="7" spans="2:21" x14ac:dyDescent="0.25">
      <c r="B7" s="23" t="s">
        <v>46</v>
      </c>
      <c r="C7" s="32"/>
      <c r="D7" s="29">
        <f>-SUMIF(F32:U32,"&lt;0")</f>
        <v>14000000</v>
      </c>
      <c r="E7" s="24"/>
      <c r="F7" s="30"/>
      <c r="G7" s="31"/>
      <c r="H7" s="25"/>
      <c r="I7" s="25"/>
      <c r="J7" s="25"/>
      <c r="K7" s="25"/>
      <c r="L7" s="25"/>
      <c r="M7" s="25"/>
      <c r="N7" s="25"/>
      <c r="O7" s="25"/>
      <c r="P7" s="25"/>
      <c r="Q7" s="24"/>
      <c r="R7" s="24"/>
      <c r="S7" s="24"/>
      <c r="T7" s="24"/>
      <c r="U7" s="26"/>
    </row>
    <row r="8" spans="2:21" x14ac:dyDescent="0.25">
      <c r="B8" s="23"/>
      <c r="C8" s="24"/>
      <c r="D8" s="24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4"/>
      <c r="R8" s="24"/>
      <c r="S8" s="24"/>
      <c r="T8" s="24"/>
      <c r="U8" s="26"/>
    </row>
    <row r="9" spans="2:21" ht="15.75" x14ac:dyDescent="0.25">
      <c r="B9" s="27" t="s">
        <v>38</v>
      </c>
      <c r="C9" s="12"/>
      <c r="D9" s="12"/>
      <c r="E9" s="12"/>
      <c r="F9" s="7" t="s">
        <v>37</v>
      </c>
      <c r="G9" s="7" t="s">
        <v>36</v>
      </c>
      <c r="H9" s="7" t="s">
        <v>35</v>
      </c>
      <c r="I9" s="7" t="s">
        <v>34</v>
      </c>
      <c r="J9" s="25"/>
      <c r="K9" s="25"/>
      <c r="L9" s="25"/>
      <c r="M9" s="25"/>
      <c r="N9" s="25"/>
      <c r="O9" s="25"/>
      <c r="P9" s="25"/>
      <c r="Q9" s="24"/>
      <c r="R9" s="24"/>
      <c r="S9" s="24"/>
      <c r="T9" s="24"/>
      <c r="U9" s="26"/>
    </row>
    <row r="10" spans="2:21" x14ac:dyDescent="0.25">
      <c r="B10" s="23" t="s">
        <v>33</v>
      </c>
      <c r="C10" s="24"/>
      <c r="D10" s="24"/>
      <c r="E10" s="33">
        <f>D11</f>
        <v>0.08</v>
      </c>
      <c r="F10" s="69">
        <v>0</v>
      </c>
      <c r="G10" s="34">
        <f>1-F10</f>
        <v>1</v>
      </c>
      <c r="H10" s="35">
        <f>1-I10</f>
        <v>9.9999999999999978E-2</v>
      </c>
      <c r="I10" s="35">
        <f>G10*$C$6</f>
        <v>0.9</v>
      </c>
      <c r="J10" s="25"/>
      <c r="K10" s="25"/>
      <c r="L10" s="25"/>
      <c r="M10" s="25"/>
      <c r="N10" s="25"/>
      <c r="O10" s="25"/>
      <c r="P10" s="25"/>
      <c r="Q10" s="24"/>
      <c r="R10" s="24"/>
      <c r="S10" s="24"/>
      <c r="T10" s="24"/>
      <c r="U10" s="26"/>
    </row>
    <row r="11" spans="2:21" x14ac:dyDescent="0.25">
      <c r="B11" s="23" t="s">
        <v>13</v>
      </c>
      <c r="C11" s="24"/>
      <c r="D11" s="68">
        <v>0.08</v>
      </c>
      <c r="E11" s="37">
        <f>D12</f>
        <v>0.1</v>
      </c>
      <c r="F11" s="69">
        <v>0.1</v>
      </c>
      <c r="G11" s="34">
        <f>1-F11</f>
        <v>0.9</v>
      </c>
      <c r="H11" s="35">
        <f>1-I11</f>
        <v>0.18999999999999995</v>
      </c>
      <c r="I11" s="35">
        <f>G11*$C$6</f>
        <v>0.81</v>
      </c>
      <c r="J11" s="25"/>
      <c r="K11" s="25"/>
      <c r="L11" s="25"/>
      <c r="M11" s="25"/>
      <c r="N11" s="25"/>
      <c r="O11" s="25"/>
      <c r="P11" s="25"/>
      <c r="Q11" s="24"/>
      <c r="R11" s="24"/>
      <c r="S11" s="24"/>
      <c r="T11" s="24"/>
      <c r="U11" s="26"/>
    </row>
    <row r="12" spans="2:21" x14ac:dyDescent="0.25">
      <c r="B12" s="23" t="s">
        <v>12</v>
      </c>
      <c r="C12" s="24"/>
      <c r="D12" s="68">
        <v>0.1</v>
      </c>
      <c r="E12" s="37">
        <f>D13</f>
        <v>0.12</v>
      </c>
      <c r="F12" s="69">
        <v>0.25</v>
      </c>
      <c r="G12" s="34">
        <f>1-F12</f>
        <v>0.75</v>
      </c>
      <c r="H12" s="35">
        <f>1-I12</f>
        <v>0.32499999999999996</v>
      </c>
      <c r="I12" s="35">
        <f>G12*$C$6</f>
        <v>0.67500000000000004</v>
      </c>
      <c r="J12" s="25"/>
      <c r="K12" s="25"/>
      <c r="L12" s="25"/>
      <c r="M12" s="25"/>
      <c r="N12" s="25"/>
      <c r="O12" s="25"/>
      <c r="P12" s="25"/>
      <c r="Q12" s="24"/>
      <c r="R12" s="24"/>
      <c r="S12" s="24"/>
      <c r="T12" s="24"/>
      <c r="U12" s="26"/>
    </row>
    <row r="13" spans="2:21" x14ac:dyDescent="0.25">
      <c r="B13" s="23" t="s">
        <v>5</v>
      </c>
      <c r="C13" s="24"/>
      <c r="D13" s="68">
        <v>0.12</v>
      </c>
      <c r="E13" s="37"/>
      <c r="F13" s="69">
        <v>0.5</v>
      </c>
      <c r="G13" s="34">
        <f>1-F13</f>
        <v>0.5</v>
      </c>
      <c r="H13" s="35">
        <f>1-I13</f>
        <v>0.55000000000000004</v>
      </c>
      <c r="I13" s="35">
        <f>G13*$C$6</f>
        <v>0.45</v>
      </c>
      <c r="J13" s="25"/>
      <c r="K13" s="25"/>
      <c r="L13" s="25"/>
      <c r="M13" s="25"/>
      <c r="N13" s="25"/>
      <c r="O13" s="25"/>
      <c r="P13" s="25"/>
      <c r="Q13" s="24"/>
      <c r="R13" s="24"/>
      <c r="S13" s="24"/>
      <c r="T13" s="24"/>
      <c r="U13" s="26"/>
    </row>
    <row r="14" spans="2:21" x14ac:dyDescent="0.25">
      <c r="B14" s="23"/>
      <c r="C14" s="24"/>
      <c r="D14" s="36"/>
      <c r="E14" s="37"/>
      <c r="F14" s="31"/>
      <c r="G14" s="34"/>
      <c r="H14" s="35"/>
      <c r="I14" s="35"/>
      <c r="J14" s="25"/>
      <c r="K14" s="25"/>
      <c r="L14" s="25"/>
      <c r="M14" s="25"/>
      <c r="N14" s="25"/>
      <c r="O14" s="25"/>
      <c r="P14" s="25"/>
      <c r="Q14" s="24"/>
      <c r="R14" s="24"/>
      <c r="S14" s="24"/>
      <c r="T14" s="24"/>
      <c r="U14" s="26"/>
    </row>
    <row r="15" spans="2:21" ht="15.75" x14ac:dyDescent="0.25">
      <c r="B15" s="27" t="s">
        <v>32</v>
      </c>
      <c r="C15" s="12"/>
      <c r="D15" s="13"/>
      <c r="E15" s="14"/>
      <c r="F15" s="15" t="s">
        <v>18</v>
      </c>
      <c r="G15" s="16">
        <v>1</v>
      </c>
      <c r="H15" s="16">
        <f>IF(H32="","",G15+1)</f>
        <v>2</v>
      </c>
      <c r="I15" s="16">
        <f t="shared" ref="I15:U15" si="0">IF(I32="","",H15+1)</f>
        <v>3</v>
      </c>
      <c r="J15" s="16">
        <f t="shared" si="0"/>
        <v>4</v>
      </c>
      <c r="K15" s="16">
        <f t="shared" si="0"/>
        <v>5</v>
      </c>
      <c r="L15" s="16">
        <f t="shared" si="0"/>
        <v>6</v>
      </c>
      <c r="M15" s="16">
        <f t="shared" si="0"/>
        <v>7</v>
      </c>
      <c r="N15" s="16">
        <f t="shared" si="0"/>
        <v>8</v>
      </c>
      <c r="O15" s="16">
        <f t="shared" si="0"/>
        <v>9</v>
      </c>
      <c r="P15" s="16">
        <f t="shared" si="0"/>
        <v>10</v>
      </c>
      <c r="Q15" s="16">
        <f t="shared" si="0"/>
        <v>11</v>
      </c>
      <c r="R15" s="16">
        <f t="shared" si="0"/>
        <v>12</v>
      </c>
      <c r="S15" s="16">
        <f t="shared" si="0"/>
        <v>13</v>
      </c>
      <c r="T15" s="16">
        <f t="shared" si="0"/>
        <v>14</v>
      </c>
      <c r="U15" s="38">
        <f t="shared" si="0"/>
        <v>15</v>
      </c>
    </row>
    <row r="16" spans="2:21" x14ac:dyDescent="0.25">
      <c r="B16" s="39" t="s">
        <v>31</v>
      </c>
      <c r="C16" s="24"/>
      <c r="D16" s="36"/>
      <c r="E16" s="37"/>
      <c r="F16" s="31"/>
      <c r="G16" s="34"/>
      <c r="H16" s="35"/>
      <c r="I16" s="35"/>
      <c r="J16" s="25"/>
      <c r="K16" s="25"/>
      <c r="L16" s="25"/>
      <c r="M16" s="25"/>
      <c r="N16" s="25"/>
      <c r="O16" s="25"/>
      <c r="P16" s="25"/>
      <c r="Q16" s="24"/>
      <c r="R16" s="24"/>
      <c r="S16" s="24"/>
      <c r="T16" s="24"/>
      <c r="U16" s="26"/>
    </row>
    <row r="17" spans="2:25" x14ac:dyDescent="0.25">
      <c r="B17" s="40" t="s">
        <v>30</v>
      </c>
      <c r="C17" s="24"/>
      <c r="D17" s="41">
        <f>SUM(F17:U17)</f>
        <v>35937832.194875613</v>
      </c>
      <c r="E17" s="37"/>
      <c r="F17" s="42">
        <f t="shared" ref="F17:U17" si="1">IF(F15="","",F44+F59+F74+F81)</f>
        <v>0</v>
      </c>
      <c r="G17" s="42">
        <f t="shared" si="1"/>
        <v>1089081.0639216006</v>
      </c>
      <c r="H17" s="42">
        <f t="shared" si="1"/>
        <v>1119457.2798804247</v>
      </c>
      <c r="I17" s="42">
        <f t="shared" si="1"/>
        <v>1150289.1390786308</v>
      </c>
      <c r="J17" s="42">
        <f t="shared" si="1"/>
        <v>1181583.4761648099</v>
      </c>
      <c r="K17" s="42">
        <f t="shared" si="1"/>
        <v>1213347.2283072816</v>
      </c>
      <c r="L17" s="42">
        <f t="shared" si="1"/>
        <v>1245587.4367318908</v>
      </c>
      <c r="M17" s="42">
        <f t="shared" si="1"/>
        <v>1278311.2482828689</v>
      </c>
      <c r="N17" s="42">
        <f t="shared" si="1"/>
        <v>1311525.9170071117</v>
      </c>
      <c r="O17" s="42">
        <f t="shared" si="1"/>
        <v>1345238.8057622178</v>
      </c>
      <c r="P17" s="42">
        <f t="shared" si="1"/>
        <v>1379457.387848651</v>
      </c>
      <c r="Q17" s="42">
        <f t="shared" si="1"/>
        <v>1414189.2486663808</v>
      </c>
      <c r="R17" s="42">
        <f t="shared" si="1"/>
        <v>1449442.0873963761</v>
      </c>
      <c r="S17" s="42">
        <f t="shared" si="1"/>
        <v>1485223.7187073217</v>
      </c>
      <c r="T17" s="42">
        <f t="shared" si="1"/>
        <v>1521542.0744879311</v>
      </c>
      <c r="U17" s="43">
        <f t="shared" si="1"/>
        <v>17753556.082632121</v>
      </c>
    </row>
    <row r="18" spans="2:25" x14ac:dyDescent="0.25">
      <c r="B18" s="40" t="s">
        <v>29</v>
      </c>
      <c r="C18" s="24"/>
      <c r="D18" s="41">
        <f>SUM(F18:U18)</f>
        <v>12600000</v>
      </c>
      <c r="E18" s="37"/>
      <c r="F18" s="42">
        <f t="shared" ref="F18:U18" si="2">F39</f>
        <v>12600000</v>
      </c>
      <c r="G18" s="42">
        <f t="shared" si="2"/>
        <v>0</v>
      </c>
      <c r="H18" s="42">
        <f t="shared" si="2"/>
        <v>0</v>
      </c>
      <c r="I18" s="42">
        <f t="shared" si="2"/>
        <v>0</v>
      </c>
      <c r="J18" s="42">
        <f t="shared" si="2"/>
        <v>0</v>
      </c>
      <c r="K18" s="42">
        <f t="shared" si="2"/>
        <v>0</v>
      </c>
      <c r="L18" s="42">
        <f t="shared" si="2"/>
        <v>0</v>
      </c>
      <c r="M18" s="42">
        <f t="shared" si="2"/>
        <v>0</v>
      </c>
      <c r="N18" s="42">
        <f t="shared" si="2"/>
        <v>0</v>
      </c>
      <c r="O18" s="42">
        <f t="shared" si="2"/>
        <v>0</v>
      </c>
      <c r="P18" s="42">
        <f t="shared" si="2"/>
        <v>0</v>
      </c>
      <c r="Q18" s="42">
        <f t="shared" si="2"/>
        <v>0</v>
      </c>
      <c r="R18" s="42">
        <f t="shared" si="2"/>
        <v>0</v>
      </c>
      <c r="S18" s="42">
        <f t="shared" si="2"/>
        <v>0</v>
      </c>
      <c r="T18" s="42">
        <f t="shared" si="2"/>
        <v>0</v>
      </c>
      <c r="U18" s="43">
        <f t="shared" si="2"/>
        <v>0</v>
      </c>
    </row>
    <row r="19" spans="2:25" x14ac:dyDescent="0.25">
      <c r="B19" s="40" t="s">
        <v>28</v>
      </c>
      <c r="C19" s="24"/>
      <c r="D19" s="41">
        <f>D17-D18</f>
        <v>23337832.194875613</v>
      </c>
      <c r="E19" s="37"/>
      <c r="F19" s="31"/>
      <c r="G19" s="34"/>
      <c r="H19" s="35"/>
      <c r="I19" s="35"/>
      <c r="J19" s="25"/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6"/>
    </row>
    <row r="20" spans="2:25" x14ac:dyDescent="0.25">
      <c r="B20" s="40" t="s">
        <v>27</v>
      </c>
      <c r="C20" s="24"/>
      <c r="D20" s="44">
        <f>IRR(F20:U20)</f>
        <v>0.10801162953177879</v>
      </c>
      <c r="E20" s="37"/>
      <c r="F20" s="42">
        <f t="shared" ref="F20:U20" si="3">IF(F15="","",(-F18)+F17)</f>
        <v>-12600000</v>
      </c>
      <c r="G20" s="42">
        <f t="shared" si="3"/>
        <v>1089081.0639216006</v>
      </c>
      <c r="H20" s="42">
        <f t="shared" si="3"/>
        <v>1119457.2798804247</v>
      </c>
      <c r="I20" s="42">
        <f t="shared" si="3"/>
        <v>1150289.1390786308</v>
      </c>
      <c r="J20" s="42">
        <f t="shared" si="3"/>
        <v>1181583.4761648099</v>
      </c>
      <c r="K20" s="42">
        <f t="shared" si="3"/>
        <v>1213347.2283072816</v>
      </c>
      <c r="L20" s="42">
        <f t="shared" si="3"/>
        <v>1245587.4367318908</v>
      </c>
      <c r="M20" s="42">
        <f t="shared" si="3"/>
        <v>1278311.2482828689</v>
      </c>
      <c r="N20" s="42">
        <f t="shared" si="3"/>
        <v>1311525.9170071117</v>
      </c>
      <c r="O20" s="42">
        <f t="shared" si="3"/>
        <v>1345238.8057622178</v>
      </c>
      <c r="P20" s="42">
        <f t="shared" si="3"/>
        <v>1379457.387848651</v>
      </c>
      <c r="Q20" s="42">
        <f t="shared" si="3"/>
        <v>1414189.2486663808</v>
      </c>
      <c r="R20" s="42">
        <f t="shared" si="3"/>
        <v>1449442.0873963761</v>
      </c>
      <c r="S20" s="42">
        <f t="shared" si="3"/>
        <v>1485223.7187073217</v>
      </c>
      <c r="T20" s="42">
        <f t="shared" si="3"/>
        <v>1521542.0744879311</v>
      </c>
      <c r="U20" s="43">
        <f t="shared" si="3"/>
        <v>17753556.082632121</v>
      </c>
    </row>
    <row r="21" spans="2:25" x14ac:dyDescent="0.25">
      <c r="B21" s="40" t="s">
        <v>26</v>
      </c>
      <c r="C21" s="24"/>
      <c r="D21" s="45">
        <f>D17/D18</f>
        <v>2.8522089043552072</v>
      </c>
      <c r="E21" s="37"/>
      <c r="F21" s="31"/>
      <c r="G21" s="34"/>
      <c r="H21" s="35"/>
      <c r="I21" s="35"/>
      <c r="J21" s="25"/>
      <c r="K21" s="25"/>
      <c r="L21" s="25"/>
      <c r="M21" s="25"/>
      <c r="N21" s="25"/>
      <c r="O21" s="25"/>
      <c r="P21" s="25"/>
      <c r="Q21" s="24"/>
      <c r="R21" s="24"/>
      <c r="S21" s="24"/>
      <c r="T21" s="24"/>
      <c r="U21" s="26"/>
    </row>
    <row r="22" spans="2:25" x14ac:dyDescent="0.25">
      <c r="B22" s="40"/>
      <c r="C22" s="24"/>
      <c r="D22" s="36"/>
      <c r="E22" s="37"/>
      <c r="F22" s="31"/>
      <c r="G22" s="34"/>
      <c r="H22" s="35"/>
      <c r="I22" s="35"/>
      <c r="J22" s="25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6"/>
    </row>
    <row r="23" spans="2:25" x14ac:dyDescent="0.25">
      <c r="B23" s="39" t="s">
        <v>25</v>
      </c>
      <c r="C23" s="24"/>
      <c r="D23" s="36"/>
      <c r="E23" s="37"/>
      <c r="F23" s="31"/>
      <c r="G23" s="34"/>
      <c r="H23" s="35"/>
      <c r="I23" s="35"/>
      <c r="J23" s="25"/>
      <c r="K23" s="25"/>
      <c r="L23" s="25"/>
      <c r="M23" s="25"/>
      <c r="N23" s="25"/>
      <c r="O23" s="25"/>
      <c r="P23" s="25"/>
      <c r="Q23" s="24"/>
      <c r="R23" s="24"/>
      <c r="S23" s="24"/>
      <c r="T23" s="24"/>
      <c r="U23" s="26"/>
    </row>
    <row r="24" spans="2:25" x14ac:dyDescent="0.25">
      <c r="B24" s="40" t="s">
        <v>24</v>
      </c>
      <c r="C24" s="24"/>
      <c r="D24" s="41">
        <f>SUM(F24:U24)</f>
        <v>6191169.3732016962</v>
      </c>
      <c r="E24" s="37"/>
      <c r="F24" s="42">
        <f t="shared" ref="F24:U24" si="4">IF(F15="","",F45+F60+F75+F82)</f>
        <v>0</v>
      </c>
      <c r="G24" s="42">
        <f t="shared" si="4"/>
        <v>121009.00710240006</v>
      </c>
      <c r="H24" s="42">
        <f t="shared" si="4"/>
        <v>124384.1422089361</v>
      </c>
      <c r="I24" s="42">
        <f t="shared" si="4"/>
        <v>127809.90434207009</v>
      </c>
      <c r="J24" s="42">
        <f t="shared" si="4"/>
        <v>131287.05290720108</v>
      </c>
      <c r="K24" s="42">
        <f t="shared" si="4"/>
        <v>134816.35870080907</v>
      </c>
      <c r="L24" s="42">
        <f t="shared" si="4"/>
        <v>138398.60408132122</v>
      </c>
      <c r="M24" s="42">
        <f t="shared" si="4"/>
        <v>142034.58314254097</v>
      </c>
      <c r="N24" s="42">
        <f t="shared" si="4"/>
        <v>145725.10188967906</v>
      </c>
      <c r="O24" s="42">
        <f t="shared" si="4"/>
        <v>149470.97841802423</v>
      </c>
      <c r="P24" s="42">
        <f t="shared" si="4"/>
        <v>153273.04309429458</v>
      </c>
      <c r="Q24" s="42">
        <f t="shared" si="4"/>
        <v>157132.13874070899</v>
      </c>
      <c r="R24" s="42">
        <f t="shared" si="4"/>
        <v>161049.12082181955</v>
      </c>
      <c r="S24" s="42">
        <f t="shared" si="4"/>
        <v>165024.85763414684</v>
      </c>
      <c r="T24" s="42">
        <f t="shared" si="4"/>
        <v>169060.23049865902</v>
      </c>
      <c r="U24" s="43">
        <f t="shared" si="4"/>
        <v>4170694.2496190853</v>
      </c>
    </row>
    <row r="25" spans="2:25" x14ac:dyDescent="0.25">
      <c r="B25" s="40" t="s">
        <v>23</v>
      </c>
      <c r="C25" s="24"/>
      <c r="D25" s="41">
        <f>SUM(F25:U25)</f>
        <v>1400000</v>
      </c>
      <c r="E25" s="37"/>
      <c r="F25" s="42">
        <f t="shared" ref="F25:U25" si="5">IF(F15="","",-(MIN(F32,0)+F39))</f>
        <v>1400000</v>
      </c>
      <c r="G25" s="42">
        <f t="shared" si="5"/>
        <v>0</v>
      </c>
      <c r="H25" s="42">
        <f t="shared" si="5"/>
        <v>0</v>
      </c>
      <c r="I25" s="42">
        <f t="shared" si="5"/>
        <v>0</v>
      </c>
      <c r="J25" s="42">
        <f t="shared" si="5"/>
        <v>0</v>
      </c>
      <c r="K25" s="42">
        <f t="shared" si="5"/>
        <v>0</v>
      </c>
      <c r="L25" s="42">
        <f t="shared" si="5"/>
        <v>0</v>
      </c>
      <c r="M25" s="42">
        <f t="shared" si="5"/>
        <v>0</v>
      </c>
      <c r="N25" s="42">
        <f t="shared" si="5"/>
        <v>0</v>
      </c>
      <c r="O25" s="42">
        <f t="shared" si="5"/>
        <v>0</v>
      </c>
      <c r="P25" s="42">
        <f t="shared" si="5"/>
        <v>0</v>
      </c>
      <c r="Q25" s="42">
        <f t="shared" si="5"/>
        <v>0</v>
      </c>
      <c r="R25" s="42">
        <f t="shared" si="5"/>
        <v>0</v>
      </c>
      <c r="S25" s="42">
        <f t="shared" si="5"/>
        <v>0</v>
      </c>
      <c r="T25" s="42">
        <f t="shared" si="5"/>
        <v>0</v>
      </c>
      <c r="U25" s="43">
        <f t="shared" si="5"/>
        <v>0</v>
      </c>
    </row>
    <row r="26" spans="2:25" x14ac:dyDescent="0.25">
      <c r="B26" s="40" t="s">
        <v>22</v>
      </c>
      <c r="C26" s="24"/>
      <c r="D26" s="41">
        <f>D24-D25</f>
        <v>4791169.3732016962</v>
      </c>
      <c r="E26" s="37"/>
      <c r="F26" s="31"/>
      <c r="G26" s="34"/>
      <c r="H26" s="35"/>
      <c r="I26" s="35"/>
      <c r="J26" s="25"/>
      <c r="K26" s="25"/>
      <c r="L26" s="25"/>
      <c r="M26" s="25"/>
      <c r="N26" s="25"/>
      <c r="O26" s="25"/>
      <c r="P26" s="25"/>
      <c r="Q26" s="24"/>
      <c r="R26" s="24"/>
      <c r="S26" s="24"/>
      <c r="T26" s="24"/>
      <c r="U26" s="26"/>
    </row>
    <row r="27" spans="2:25" x14ac:dyDescent="0.25">
      <c r="B27" s="40" t="s">
        <v>21</v>
      </c>
      <c r="C27" s="24"/>
      <c r="D27" s="44">
        <f>IRR(F27:U27)</f>
        <v>0.14050883058666574</v>
      </c>
      <c r="E27" s="37"/>
      <c r="F27" s="42">
        <f t="shared" ref="F27:U27" si="6">IF(F15="","",(-F25)+F24)</f>
        <v>-1400000</v>
      </c>
      <c r="G27" s="42">
        <f t="shared" si="6"/>
        <v>121009.00710240006</v>
      </c>
      <c r="H27" s="42">
        <f t="shared" si="6"/>
        <v>124384.1422089361</v>
      </c>
      <c r="I27" s="42">
        <f t="shared" si="6"/>
        <v>127809.90434207009</v>
      </c>
      <c r="J27" s="42">
        <f t="shared" si="6"/>
        <v>131287.05290720108</v>
      </c>
      <c r="K27" s="42">
        <f t="shared" si="6"/>
        <v>134816.35870080907</v>
      </c>
      <c r="L27" s="42">
        <f t="shared" si="6"/>
        <v>138398.60408132122</v>
      </c>
      <c r="M27" s="42">
        <f t="shared" si="6"/>
        <v>142034.58314254097</v>
      </c>
      <c r="N27" s="42">
        <f t="shared" si="6"/>
        <v>145725.10188967906</v>
      </c>
      <c r="O27" s="42">
        <f t="shared" si="6"/>
        <v>149470.97841802423</v>
      </c>
      <c r="P27" s="42">
        <f t="shared" si="6"/>
        <v>153273.04309429458</v>
      </c>
      <c r="Q27" s="42">
        <f t="shared" si="6"/>
        <v>157132.13874070899</v>
      </c>
      <c r="R27" s="42">
        <f t="shared" si="6"/>
        <v>161049.12082181955</v>
      </c>
      <c r="S27" s="42">
        <f t="shared" si="6"/>
        <v>165024.85763414684</v>
      </c>
      <c r="T27" s="42">
        <f t="shared" si="6"/>
        <v>169060.23049865902</v>
      </c>
      <c r="U27" s="43">
        <f t="shared" si="6"/>
        <v>4170694.2496190853</v>
      </c>
    </row>
    <row r="28" spans="2:25" x14ac:dyDescent="0.25">
      <c r="B28" s="40" t="s">
        <v>20</v>
      </c>
      <c r="C28" s="24"/>
      <c r="D28" s="45">
        <f>D24/D25</f>
        <v>4.4222638380012116</v>
      </c>
      <c r="E28" s="37"/>
      <c r="F28" s="31"/>
      <c r="G28" s="34"/>
      <c r="H28" s="35"/>
      <c r="I28" s="35"/>
      <c r="J28" s="25"/>
      <c r="K28" s="25"/>
      <c r="L28" s="25"/>
      <c r="M28" s="25"/>
      <c r="N28" s="25"/>
      <c r="O28" s="25"/>
      <c r="P28" s="25"/>
      <c r="Q28" s="24"/>
      <c r="R28" s="24"/>
      <c r="S28" s="24"/>
      <c r="T28" s="24"/>
      <c r="U28" s="26"/>
    </row>
    <row r="29" spans="2:25" x14ac:dyDescent="0.25">
      <c r="B29" s="46"/>
      <c r="C29" s="47"/>
      <c r="D29" s="48"/>
      <c r="E29" s="2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4"/>
      <c r="R29" s="24"/>
      <c r="S29" s="24"/>
      <c r="T29" s="24"/>
      <c r="U29" s="26"/>
    </row>
    <row r="30" spans="2:25" ht="15.75" x14ac:dyDescent="0.25">
      <c r="B30" s="27" t="s">
        <v>19</v>
      </c>
      <c r="C30" s="12"/>
      <c r="D30" s="12"/>
      <c r="E30" s="15"/>
      <c r="F30" s="15" t="s">
        <v>18</v>
      </c>
      <c r="G30" s="16">
        <f>G15</f>
        <v>1</v>
      </c>
      <c r="H30" s="16">
        <f t="shared" ref="H30:U30" si="7">H15</f>
        <v>2</v>
      </c>
      <c r="I30" s="16">
        <f t="shared" si="7"/>
        <v>3</v>
      </c>
      <c r="J30" s="16">
        <f t="shared" si="7"/>
        <v>4</v>
      </c>
      <c r="K30" s="16">
        <f t="shared" si="7"/>
        <v>5</v>
      </c>
      <c r="L30" s="16">
        <f t="shared" si="7"/>
        <v>6</v>
      </c>
      <c r="M30" s="16">
        <f t="shared" si="7"/>
        <v>7</v>
      </c>
      <c r="N30" s="16">
        <f t="shared" si="7"/>
        <v>8</v>
      </c>
      <c r="O30" s="16">
        <f t="shared" si="7"/>
        <v>9</v>
      </c>
      <c r="P30" s="16">
        <f t="shared" si="7"/>
        <v>10</v>
      </c>
      <c r="Q30" s="16">
        <f t="shared" si="7"/>
        <v>11</v>
      </c>
      <c r="R30" s="16">
        <f t="shared" si="7"/>
        <v>12</v>
      </c>
      <c r="S30" s="16">
        <f t="shared" si="7"/>
        <v>13</v>
      </c>
      <c r="T30" s="16">
        <f t="shared" si="7"/>
        <v>14</v>
      </c>
      <c r="U30" s="38">
        <f t="shared" si="7"/>
        <v>15</v>
      </c>
      <c r="V30" s="3"/>
      <c r="W30" s="3"/>
      <c r="X30" s="3"/>
      <c r="Y30" s="3"/>
    </row>
    <row r="31" spans="2:25" x14ac:dyDescent="0.25">
      <c r="B31" s="23"/>
      <c r="C31" s="24"/>
      <c r="D31" s="24"/>
      <c r="E31" s="30" t="s">
        <v>17</v>
      </c>
      <c r="F31" s="70">
        <f ca="1">EOMONTH(TODAY(),0)</f>
        <v>42308</v>
      </c>
      <c r="G31" s="49">
        <f ca="1">IF(G30="","",EOMONTH(F31,12))</f>
        <v>42674</v>
      </c>
      <c r="H31" s="49">
        <f t="shared" ref="H31:U31" ca="1" si="8">IF(H30="","",EOMONTH(G31,12))</f>
        <v>43039</v>
      </c>
      <c r="I31" s="49">
        <f t="shared" ca="1" si="8"/>
        <v>43404</v>
      </c>
      <c r="J31" s="49">
        <f t="shared" ca="1" si="8"/>
        <v>43769</v>
      </c>
      <c r="K31" s="49">
        <f t="shared" ca="1" si="8"/>
        <v>44135</v>
      </c>
      <c r="L31" s="49">
        <f t="shared" ca="1" si="8"/>
        <v>44500</v>
      </c>
      <c r="M31" s="49">
        <f t="shared" ca="1" si="8"/>
        <v>44865</v>
      </c>
      <c r="N31" s="49">
        <f t="shared" ca="1" si="8"/>
        <v>45230</v>
      </c>
      <c r="O31" s="49">
        <f t="shared" ca="1" si="8"/>
        <v>45596</v>
      </c>
      <c r="P31" s="49">
        <f t="shared" ca="1" si="8"/>
        <v>45961</v>
      </c>
      <c r="Q31" s="49">
        <f t="shared" ca="1" si="8"/>
        <v>46326</v>
      </c>
      <c r="R31" s="49">
        <f t="shared" ca="1" si="8"/>
        <v>46691</v>
      </c>
      <c r="S31" s="49">
        <f t="shared" ca="1" si="8"/>
        <v>47057</v>
      </c>
      <c r="T31" s="49">
        <f t="shared" ca="1" si="8"/>
        <v>47422</v>
      </c>
      <c r="U31" s="50">
        <f t="shared" ca="1" si="8"/>
        <v>47787</v>
      </c>
      <c r="V31" s="3"/>
      <c r="W31" s="3"/>
      <c r="X31" s="3"/>
      <c r="Y31" s="3"/>
    </row>
    <row r="32" spans="2:25" x14ac:dyDescent="0.25">
      <c r="B32" s="23" t="s">
        <v>45</v>
      </c>
      <c r="C32" s="24"/>
      <c r="D32" s="24"/>
      <c r="E32" s="51"/>
      <c r="F32" s="74">
        <f>'Scenario Analysis'!D19</f>
        <v>-14000000</v>
      </c>
      <c r="G32" s="74">
        <f>'Scenario Analysis'!E19</f>
        <v>1210090.0710240006</v>
      </c>
      <c r="H32" s="74">
        <f>'Scenario Analysis'!F19</f>
        <v>1243841.4220893607</v>
      </c>
      <c r="I32" s="74">
        <f>'Scenario Analysis'!G19</f>
        <v>1278099.0434207008</v>
      </c>
      <c r="J32" s="74">
        <f>'Scenario Analysis'!H19</f>
        <v>1312870.5290720109</v>
      </c>
      <c r="K32" s="74">
        <f>'Scenario Analysis'!I19</f>
        <v>1348163.5870080907</v>
      </c>
      <c r="L32" s="74">
        <f>'Scenario Analysis'!J19</f>
        <v>1383986.0408132118</v>
      </c>
      <c r="M32" s="74">
        <f>'Scenario Analysis'!K19</f>
        <v>1420345.8314254098</v>
      </c>
      <c r="N32" s="74">
        <f>'Scenario Analysis'!L19</f>
        <v>1457251.0188967907</v>
      </c>
      <c r="O32" s="74">
        <f>'Scenario Analysis'!M19</f>
        <v>1494709.7841802421</v>
      </c>
      <c r="P32" s="74">
        <f>'Scenario Analysis'!N19</f>
        <v>1532730.4309429456</v>
      </c>
      <c r="Q32" s="74">
        <f>'Scenario Analysis'!O19</f>
        <v>1571321.3874070896</v>
      </c>
      <c r="R32" s="74">
        <f>'Scenario Analysis'!P19</f>
        <v>1610491.2082181955</v>
      </c>
      <c r="S32" s="74">
        <f>'Scenario Analysis'!Q19</f>
        <v>1650248.5763414684</v>
      </c>
      <c r="T32" s="74">
        <f>'Scenario Analysis'!R19</f>
        <v>1690602.3049865901</v>
      </c>
      <c r="U32" s="80">
        <f>'Scenario Analysis'!S19</f>
        <v>21924250.332251206</v>
      </c>
    </row>
    <row r="33" spans="2:21" x14ac:dyDescent="0.25">
      <c r="B33" s="23" t="s">
        <v>16</v>
      </c>
      <c r="C33" s="24"/>
      <c r="D33" s="24"/>
      <c r="E33" s="24"/>
      <c r="F33" s="35">
        <f>IRR(F32:U32)</f>
        <v>0.11207162777882007</v>
      </c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4"/>
      <c r="R33" s="24"/>
      <c r="S33" s="24"/>
      <c r="T33" s="24"/>
      <c r="U33" s="26"/>
    </row>
    <row r="34" spans="2:21" x14ac:dyDescent="0.25">
      <c r="B34" s="23"/>
      <c r="C34" s="24"/>
      <c r="D34" s="24"/>
      <c r="E34" s="52"/>
      <c r="F34" s="53"/>
      <c r="G34" s="25"/>
      <c r="H34" s="25"/>
      <c r="I34" s="25"/>
      <c r="J34" s="25"/>
      <c r="K34" s="25"/>
      <c r="L34" s="25"/>
      <c r="M34" s="25"/>
      <c r="N34" s="25"/>
      <c r="O34" s="25"/>
      <c r="P34" s="53"/>
      <c r="Q34" s="24"/>
      <c r="R34" s="24"/>
      <c r="S34" s="24"/>
      <c r="T34" s="24"/>
      <c r="U34" s="26"/>
    </row>
    <row r="35" spans="2:21" ht="15.75" x14ac:dyDescent="0.25">
      <c r="B35" s="54" t="s">
        <v>15</v>
      </c>
      <c r="C35" s="24"/>
      <c r="D35" s="24"/>
      <c r="E35" s="24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4"/>
      <c r="R35" s="24"/>
      <c r="S35" s="24"/>
      <c r="T35" s="24"/>
      <c r="U35" s="26"/>
    </row>
    <row r="36" spans="2:21" x14ac:dyDescent="0.25">
      <c r="B36" s="55" t="s">
        <v>4</v>
      </c>
      <c r="C36" s="17">
        <f>E10</f>
        <v>0.08</v>
      </c>
      <c r="D36" s="12"/>
      <c r="E36" s="12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2"/>
      <c r="R36" s="12"/>
      <c r="S36" s="12"/>
      <c r="T36" s="12"/>
      <c r="U36" s="56"/>
    </row>
    <row r="37" spans="2:21" x14ac:dyDescent="0.25">
      <c r="B37" s="23" t="s">
        <v>11</v>
      </c>
      <c r="C37" s="24"/>
      <c r="D37" s="24"/>
      <c r="E37" s="24"/>
      <c r="F37" s="57">
        <f t="shared" ref="F37:U37" si="9">IF(F30="","",E41)</f>
        <v>0</v>
      </c>
      <c r="G37" s="57">
        <f t="shared" si="9"/>
        <v>12600000</v>
      </c>
      <c r="H37" s="57">
        <f t="shared" si="9"/>
        <v>12518918.936078399</v>
      </c>
      <c r="I37" s="57">
        <f t="shared" si="9"/>
        <v>12400975.171084246</v>
      </c>
      <c r="J37" s="57">
        <f t="shared" si="9"/>
        <v>12242764.045692354</v>
      </c>
      <c r="K37" s="57">
        <f t="shared" si="9"/>
        <v>12040601.693182932</v>
      </c>
      <c r="L37" s="57">
        <f t="shared" si="9"/>
        <v>11790502.600330286</v>
      </c>
      <c r="M37" s="57">
        <f t="shared" si="9"/>
        <v>11488155.371624816</v>
      </c>
      <c r="N37" s="57">
        <f t="shared" si="9"/>
        <v>11128896.553071933</v>
      </c>
      <c r="O37" s="57">
        <f t="shared" si="9"/>
        <v>10707682.360310577</v>
      </c>
      <c r="P37" s="57">
        <f t="shared" si="9"/>
        <v>10219058.143373204</v>
      </c>
      <c r="Q37" s="57">
        <f t="shared" si="9"/>
        <v>9657125.4069944099</v>
      </c>
      <c r="R37" s="57">
        <f t="shared" si="9"/>
        <v>9015506.1908875816</v>
      </c>
      <c r="S37" s="57">
        <f t="shared" si="9"/>
        <v>8287304.5987622123</v>
      </c>
      <c r="T37" s="57">
        <f t="shared" si="9"/>
        <v>7465065.247955868</v>
      </c>
      <c r="U37" s="58">
        <f t="shared" si="9"/>
        <v>6540728.3933044067</v>
      </c>
    </row>
    <row r="38" spans="2:21" x14ac:dyDescent="0.25">
      <c r="B38" s="23" t="s">
        <v>10</v>
      </c>
      <c r="C38" s="24"/>
      <c r="D38" s="24"/>
      <c r="E38" s="24"/>
      <c r="F38" s="57">
        <f t="shared" ref="F38:U38" si="10">IF(F37="","",F37*Preferred_Return)</f>
        <v>0</v>
      </c>
      <c r="G38" s="57">
        <f t="shared" si="10"/>
        <v>1008000</v>
      </c>
      <c r="H38" s="57">
        <f t="shared" si="10"/>
        <v>1001513.514886272</v>
      </c>
      <c r="I38" s="57">
        <f t="shared" si="10"/>
        <v>992078.01368673972</v>
      </c>
      <c r="J38" s="57">
        <f t="shared" si="10"/>
        <v>979421.12365538836</v>
      </c>
      <c r="K38" s="57">
        <f t="shared" si="10"/>
        <v>963248.13545463455</v>
      </c>
      <c r="L38" s="57">
        <f t="shared" si="10"/>
        <v>943240.20802642289</v>
      </c>
      <c r="M38" s="57">
        <f t="shared" si="10"/>
        <v>919052.42972998531</v>
      </c>
      <c r="N38" s="57">
        <f t="shared" si="10"/>
        <v>890311.72424575465</v>
      </c>
      <c r="O38" s="57">
        <f t="shared" si="10"/>
        <v>856614.5888248462</v>
      </c>
      <c r="P38" s="57">
        <f t="shared" si="10"/>
        <v>817524.65146985638</v>
      </c>
      <c r="Q38" s="57">
        <f t="shared" si="10"/>
        <v>772570.03255955281</v>
      </c>
      <c r="R38" s="57">
        <f t="shared" si="10"/>
        <v>721240.49527100648</v>
      </c>
      <c r="S38" s="57">
        <f t="shared" si="10"/>
        <v>662984.36790097703</v>
      </c>
      <c r="T38" s="57">
        <f t="shared" si="10"/>
        <v>597205.21983646951</v>
      </c>
      <c r="U38" s="58">
        <f t="shared" si="10"/>
        <v>523258.27146435255</v>
      </c>
    </row>
    <row r="39" spans="2:21" x14ac:dyDescent="0.25">
      <c r="B39" s="23" t="s">
        <v>9</v>
      </c>
      <c r="C39" s="24"/>
      <c r="D39" s="24"/>
      <c r="E39" s="24"/>
      <c r="F39" s="57">
        <f t="shared" ref="F39:U39" si="11">IF(F37="","",-MIN(0,F32*Equity_Share_LP))</f>
        <v>12600000</v>
      </c>
      <c r="G39" s="57">
        <f t="shared" si="11"/>
        <v>0</v>
      </c>
      <c r="H39" s="57">
        <f t="shared" si="11"/>
        <v>0</v>
      </c>
      <c r="I39" s="57">
        <f t="shared" si="11"/>
        <v>0</v>
      </c>
      <c r="J39" s="57">
        <f t="shared" si="11"/>
        <v>0</v>
      </c>
      <c r="K39" s="57">
        <f t="shared" si="11"/>
        <v>0</v>
      </c>
      <c r="L39" s="57">
        <f t="shared" si="11"/>
        <v>0</v>
      </c>
      <c r="M39" s="57">
        <f t="shared" si="11"/>
        <v>0</v>
      </c>
      <c r="N39" s="57">
        <f t="shared" si="11"/>
        <v>0</v>
      </c>
      <c r="O39" s="57">
        <f t="shared" si="11"/>
        <v>0</v>
      </c>
      <c r="P39" s="57">
        <f t="shared" si="11"/>
        <v>0</v>
      </c>
      <c r="Q39" s="57">
        <f t="shared" si="11"/>
        <v>0</v>
      </c>
      <c r="R39" s="57">
        <f t="shared" si="11"/>
        <v>0</v>
      </c>
      <c r="S39" s="57">
        <f t="shared" si="11"/>
        <v>0</v>
      </c>
      <c r="T39" s="57">
        <f t="shared" si="11"/>
        <v>0</v>
      </c>
      <c r="U39" s="58">
        <f t="shared" si="11"/>
        <v>0</v>
      </c>
    </row>
    <row r="40" spans="2:21" x14ac:dyDescent="0.25">
      <c r="B40" s="23" t="s">
        <v>14</v>
      </c>
      <c r="C40" s="24"/>
      <c r="D40" s="24"/>
      <c r="E40" s="24"/>
      <c r="F40" s="57">
        <f>MAX(F32,F38)</f>
        <v>0</v>
      </c>
      <c r="G40" s="57">
        <f t="shared" ref="G40:U40" si="12">IF(G37="","",MIN(G37+G38,MAX(G32,0)*Equity_Share_LP))</f>
        <v>1089081.0639216006</v>
      </c>
      <c r="H40" s="57">
        <f t="shared" si="12"/>
        <v>1119457.2798804247</v>
      </c>
      <c r="I40" s="57">
        <f t="shared" si="12"/>
        <v>1150289.1390786308</v>
      </c>
      <c r="J40" s="57">
        <f t="shared" si="12"/>
        <v>1181583.4761648099</v>
      </c>
      <c r="K40" s="57">
        <f t="shared" si="12"/>
        <v>1213347.2283072816</v>
      </c>
      <c r="L40" s="57">
        <f t="shared" si="12"/>
        <v>1245587.4367318908</v>
      </c>
      <c r="M40" s="57">
        <f t="shared" si="12"/>
        <v>1278311.2482828689</v>
      </c>
      <c r="N40" s="57">
        <f t="shared" si="12"/>
        <v>1311525.9170071117</v>
      </c>
      <c r="O40" s="57">
        <f t="shared" si="12"/>
        <v>1345238.8057622178</v>
      </c>
      <c r="P40" s="57">
        <f t="shared" si="12"/>
        <v>1379457.387848651</v>
      </c>
      <c r="Q40" s="57">
        <f t="shared" si="12"/>
        <v>1414189.2486663808</v>
      </c>
      <c r="R40" s="57">
        <f t="shared" si="12"/>
        <v>1449442.0873963761</v>
      </c>
      <c r="S40" s="57">
        <f t="shared" si="12"/>
        <v>1485223.7187073217</v>
      </c>
      <c r="T40" s="57">
        <f t="shared" si="12"/>
        <v>1521542.0744879311</v>
      </c>
      <c r="U40" s="58">
        <f t="shared" si="12"/>
        <v>7063986.6647687592</v>
      </c>
    </row>
    <row r="41" spans="2:21" x14ac:dyDescent="0.25">
      <c r="B41" s="23" t="s">
        <v>7</v>
      </c>
      <c r="C41" s="24"/>
      <c r="D41" s="24"/>
      <c r="E41" s="24"/>
      <c r="F41" s="57">
        <f>F37+F39-F40</f>
        <v>12600000</v>
      </c>
      <c r="G41" s="57">
        <f t="shared" ref="G41:U41" si="13">IF(G37="","",G37+G38+G39-G40)</f>
        <v>12518918.936078399</v>
      </c>
      <c r="H41" s="57">
        <f t="shared" si="13"/>
        <v>12400975.171084246</v>
      </c>
      <c r="I41" s="57">
        <f t="shared" si="13"/>
        <v>12242764.045692354</v>
      </c>
      <c r="J41" s="57">
        <f t="shared" si="13"/>
        <v>12040601.693182932</v>
      </c>
      <c r="K41" s="57">
        <f t="shared" si="13"/>
        <v>11790502.600330286</v>
      </c>
      <c r="L41" s="57">
        <f t="shared" si="13"/>
        <v>11488155.371624816</v>
      </c>
      <c r="M41" s="57">
        <f t="shared" si="13"/>
        <v>11128896.553071933</v>
      </c>
      <c r="N41" s="57">
        <f t="shared" si="13"/>
        <v>10707682.360310577</v>
      </c>
      <c r="O41" s="57">
        <f t="shared" si="13"/>
        <v>10219058.143373204</v>
      </c>
      <c r="P41" s="57">
        <f t="shared" si="13"/>
        <v>9657125.4069944099</v>
      </c>
      <c r="Q41" s="57">
        <f t="shared" si="13"/>
        <v>9015506.1908875816</v>
      </c>
      <c r="R41" s="57">
        <f t="shared" si="13"/>
        <v>8287304.5987622123</v>
      </c>
      <c r="S41" s="57">
        <f t="shared" si="13"/>
        <v>7465065.247955868</v>
      </c>
      <c r="T41" s="57">
        <f t="shared" si="13"/>
        <v>6540728.3933044067</v>
      </c>
      <c r="U41" s="58">
        <f t="shared" si="13"/>
        <v>0</v>
      </c>
    </row>
    <row r="42" spans="2:21" x14ac:dyDescent="0.25">
      <c r="B42" s="59">
        <f>C36</f>
        <v>0.08</v>
      </c>
      <c r="C42" s="24"/>
      <c r="D42" s="24"/>
      <c r="E42" s="71">
        <f>IRR(F42:U42)</f>
        <v>8.0000000000000071E-2</v>
      </c>
      <c r="F42" s="57">
        <f t="shared" ref="F42:U42" si="14">IF(F37="","",-F39+F40)</f>
        <v>-12600000</v>
      </c>
      <c r="G42" s="57">
        <f t="shared" si="14"/>
        <v>1089081.0639216006</v>
      </c>
      <c r="H42" s="57">
        <f t="shared" si="14"/>
        <v>1119457.2798804247</v>
      </c>
      <c r="I42" s="57">
        <f t="shared" si="14"/>
        <v>1150289.1390786308</v>
      </c>
      <c r="J42" s="57">
        <f t="shared" si="14"/>
        <v>1181583.4761648099</v>
      </c>
      <c r="K42" s="57">
        <f t="shared" si="14"/>
        <v>1213347.2283072816</v>
      </c>
      <c r="L42" s="57">
        <f t="shared" si="14"/>
        <v>1245587.4367318908</v>
      </c>
      <c r="M42" s="57">
        <f t="shared" si="14"/>
        <v>1278311.2482828689</v>
      </c>
      <c r="N42" s="57">
        <f t="shared" si="14"/>
        <v>1311525.9170071117</v>
      </c>
      <c r="O42" s="57">
        <f t="shared" si="14"/>
        <v>1345238.8057622178</v>
      </c>
      <c r="P42" s="57">
        <f t="shared" si="14"/>
        <v>1379457.387848651</v>
      </c>
      <c r="Q42" s="57">
        <f t="shared" si="14"/>
        <v>1414189.2486663808</v>
      </c>
      <c r="R42" s="57">
        <f t="shared" si="14"/>
        <v>1449442.0873963761</v>
      </c>
      <c r="S42" s="57">
        <f t="shared" si="14"/>
        <v>1485223.7187073217</v>
      </c>
      <c r="T42" s="57">
        <f t="shared" si="14"/>
        <v>1521542.0744879311</v>
      </c>
      <c r="U42" s="58">
        <f t="shared" si="14"/>
        <v>7063986.6647687592</v>
      </c>
    </row>
    <row r="43" spans="2:21" x14ac:dyDescent="0.25">
      <c r="B43" s="60" t="s">
        <v>6</v>
      </c>
      <c r="C43" s="61" t="s">
        <v>6</v>
      </c>
      <c r="D43" s="61" t="s">
        <v>6</v>
      </c>
      <c r="E43" s="61" t="s">
        <v>6</v>
      </c>
      <c r="F43" s="4" t="str">
        <f t="shared" ref="F43:U43" si="15">IF(F37="","",".")</f>
        <v>.</v>
      </c>
      <c r="G43" s="4" t="str">
        <f t="shared" si="15"/>
        <v>.</v>
      </c>
      <c r="H43" s="4" t="str">
        <f t="shared" si="15"/>
        <v>.</v>
      </c>
      <c r="I43" s="4" t="str">
        <f t="shared" si="15"/>
        <v>.</v>
      </c>
      <c r="J43" s="4" t="str">
        <f t="shared" si="15"/>
        <v>.</v>
      </c>
      <c r="K43" s="4" t="str">
        <f t="shared" si="15"/>
        <v>.</v>
      </c>
      <c r="L43" s="4" t="str">
        <f t="shared" si="15"/>
        <v>.</v>
      </c>
      <c r="M43" s="4" t="str">
        <f t="shared" si="15"/>
        <v>.</v>
      </c>
      <c r="N43" s="4" t="str">
        <f t="shared" si="15"/>
        <v>.</v>
      </c>
      <c r="O43" s="4" t="str">
        <f t="shared" si="15"/>
        <v>.</v>
      </c>
      <c r="P43" s="4" t="str">
        <f t="shared" si="15"/>
        <v>.</v>
      </c>
      <c r="Q43" s="4" t="str">
        <f t="shared" si="15"/>
        <v>.</v>
      </c>
      <c r="R43" s="4" t="str">
        <f t="shared" si="15"/>
        <v>.</v>
      </c>
      <c r="S43" s="4" t="str">
        <f t="shared" si="15"/>
        <v>.</v>
      </c>
      <c r="T43" s="4" t="str">
        <f t="shared" si="15"/>
        <v>.</v>
      </c>
      <c r="U43" s="62" t="str">
        <f t="shared" si="15"/>
        <v>.</v>
      </c>
    </row>
    <row r="44" spans="2:21" x14ac:dyDescent="0.25">
      <c r="B44" s="23" t="s">
        <v>2</v>
      </c>
      <c r="C44" s="24"/>
      <c r="D44" s="24"/>
      <c r="E44" s="24"/>
      <c r="F44" s="57">
        <f t="shared" ref="F44:U44" si="16">F40</f>
        <v>0</v>
      </c>
      <c r="G44" s="57">
        <f t="shared" si="16"/>
        <v>1089081.0639216006</v>
      </c>
      <c r="H44" s="57">
        <f t="shared" si="16"/>
        <v>1119457.2798804247</v>
      </c>
      <c r="I44" s="57">
        <f t="shared" si="16"/>
        <v>1150289.1390786308</v>
      </c>
      <c r="J44" s="57">
        <f t="shared" si="16"/>
        <v>1181583.4761648099</v>
      </c>
      <c r="K44" s="57">
        <f t="shared" si="16"/>
        <v>1213347.2283072816</v>
      </c>
      <c r="L44" s="57">
        <f t="shared" si="16"/>
        <v>1245587.4367318908</v>
      </c>
      <c r="M44" s="57">
        <f t="shared" si="16"/>
        <v>1278311.2482828689</v>
      </c>
      <c r="N44" s="57">
        <f t="shared" si="16"/>
        <v>1311525.9170071117</v>
      </c>
      <c r="O44" s="57">
        <f t="shared" si="16"/>
        <v>1345238.8057622178</v>
      </c>
      <c r="P44" s="57">
        <f t="shared" si="16"/>
        <v>1379457.387848651</v>
      </c>
      <c r="Q44" s="57">
        <f t="shared" si="16"/>
        <v>1414189.2486663808</v>
      </c>
      <c r="R44" s="57">
        <f t="shared" si="16"/>
        <v>1449442.0873963761</v>
      </c>
      <c r="S44" s="57">
        <f t="shared" si="16"/>
        <v>1485223.7187073217</v>
      </c>
      <c r="T44" s="57">
        <f t="shared" si="16"/>
        <v>1521542.0744879311</v>
      </c>
      <c r="U44" s="58">
        <f t="shared" si="16"/>
        <v>7063986.6647687592</v>
      </c>
    </row>
    <row r="45" spans="2:21" x14ac:dyDescent="0.25">
      <c r="B45" s="23" t="s">
        <v>1</v>
      </c>
      <c r="C45" s="24"/>
      <c r="D45" s="24"/>
      <c r="E45" s="24"/>
      <c r="F45" s="57">
        <f t="shared" ref="F45:U45" si="17">IF(F37="","",F44/Equity_Share_LP*Equity_Share_Sponsor)</f>
        <v>0</v>
      </c>
      <c r="G45" s="57">
        <f t="shared" si="17"/>
        <v>121009.00710240006</v>
      </c>
      <c r="H45" s="57">
        <f t="shared" si="17"/>
        <v>124384.1422089361</v>
      </c>
      <c r="I45" s="57">
        <f t="shared" si="17"/>
        <v>127809.90434207009</v>
      </c>
      <c r="J45" s="57">
        <f t="shared" si="17"/>
        <v>131287.05290720108</v>
      </c>
      <c r="K45" s="57">
        <f t="shared" si="17"/>
        <v>134816.35870080907</v>
      </c>
      <c r="L45" s="57">
        <f t="shared" si="17"/>
        <v>138398.60408132122</v>
      </c>
      <c r="M45" s="57">
        <f t="shared" si="17"/>
        <v>142034.58314254097</v>
      </c>
      <c r="N45" s="57">
        <f t="shared" si="17"/>
        <v>145725.10188967906</v>
      </c>
      <c r="O45" s="57">
        <f t="shared" si="17"/>
        <v>149470.97841802423</v>
      </c>
      <c r="P45" s="57">
        <f t="shared" si="17"/>
        <v>153273.04309429458</v>
      </c>
      <c r="Q45" s="57">
        <f t="shared" si="17"/>
        <v>157132.13874070899</v>
      </c>
      <c r="R45" s="57">
        <f t="shared" si="17"/>
        <v>161049.12082181955</v>
      </c>
      <c r="S45" s="57">
        <f t="shared" si="17"/>
        <v>165024.85763414684</v>
      </c>
      <c r="T45" s="57">
        <f t="shared" si="17"/>
        <v>169060.23049865902</v>
      </c>
      <c r="U45" s="58">
        <f t="shared" si="17"/>
        <v>784887.40719652874</v>
      </c>
    </row>
    <row r="46" spans="2:21" x14ac:dyDescent="0.25">
      <c r="B46" s="23" t="str">
        <f>"Total Distributions ("&amp;B35&amp;")"</f>
        <v>Total Distributions (Hurdle 1)</v>
      </c>
      <c r="C46" s="24"/>
      <c r="D46" s="24"/>
      <c r="E46" s="24"/>
      <c r="F46" s="57">
        <f t="shared" ref="F46:U46" si="18">IF(F37="","",SUM(F44:F45))</f>
        <v>0</v>
      </c>
      <c r="G46" s="57">
        <f t="shared" si="18"/>
        <v>1210090.0710240006</v>
      </c>
      <c r="H46" s="57">
        <f t="shared" si="18"/>
        <v>1243841.4220893609</v>
      </c>
      <c r="I46" s="57">
        <f t="shared" si="18"/>
        <v>1278099.0434207008</v>
      </c>
      <c r="J46" s="57">
        <f t="shared" si="18"/>
        <v>1312870.5290720109</v>
      </c>
      <c r="K46" s="57">
        <f t="shared" si="18"/>
        <v>1348163.5870080907</v>
      </c>
      <c r="L46" s="57">
        <f t="shared" si="18"/>
        <v>1383986.0408132121</v>
      </c>
      <c r="M46" s="57">
        <f t="shared" si="18"/>
        <v>1420345.8314254098</v>
      </c>
      <c r="N46" s="57">
        <f t="shared" si="18"/>
        <v>1457251.0188967907</v>
      </c>
      <c r="O46" s="57">
        <f t="shared" si="18"/>
        <v>1494709.7841802421</v>
      </c>
      <c r="P46" s="57">
        <f t="shared" si="18"/>
        <v>1532730.4309429456</v>
      </c>
      <c r="Q46" s="57">
        <f t="shared" si="18"/>
        <v>1571321.3874070898</v>
      </c>
      <c r="R46" s="57">
        <f t="shared" si="18"/>
        <v>1610491.2082181957</v>
      </c>
      <c r="S46" s="57">
        <f t="shared" si="18"/>
        <v>1650248.5763414686</v>
      </c>
      <c r="T46" s="57">
        <f t="shared" si="18"/>
        <v>1690602.3049865901</v>
      </c>
      <c r="U46" s="58">
        <f t="shared" si="18"/>
        <v>7848874.0719652884</v>
      </c>
    </row>
    <row r="47" spans="2:21" x14ac:dyDescent="0.25">
      <c r="B47" s="23" t="s">
        <v>0</v>
      </c>
      <c r="C47" s="24"/>
      <c r="D47" s="24"/>
      <c r="E47" s="24"/>
      <c r="F47" s="57">
        <f t="shared" ref="F47:U47" si="19">IF(F37="","",MAX(F32-F46,0))</f>
        <v>0</v>
      </c>
      <c r="G47" s="57">
        <f t="shared" si="19"/>
        <v>0</v>
      </c>
      <c r="H47" s="57">
        <f t="shared" si="19"/>
        <v>0</v>
      </c>
      <c r="I47" s="57">
        <f t="shared" si="19"/>
        <v>0</v>
      </c>
      <c r="J47" s="57">
        <f t="shared" si="19"/>
        <v>0</v>
      </c>
      <c r="K47" s="57">
        <f t="shared" si="19"/>
        <v>0</v>
      </c>
      <c r="L47" s="57">
        <f t="shared" si="19"/>
        <v>0</v>
      </c>
      <c r="M47" s="57">
        <f t="shared" si="19"/>
        <v>0</v>
      </c>
      <c r="N47" s="57">
        <f t="shared" si="19"/>
        <v>0</v>
      </c>
      <c r="O47" s="57">
        <f t="shared" si="19"/>
        <v>0</v>
      </c>
      <c r="P47" s="57">
        <f t="shared" si="19"/>
        <v>0</v>
      </c>
      <c r="Q47" s="57">
        <f t="shared" si="19"/>
        <v>0</v>
      </c>
      <c r="R47" s="57">
        <f t="shared" si="19"/>
        <v>0</v>
      </c>
      <c r="S47" s="57">
        <f t="shared" si="19"/>
        <v>0</v>
      </c>
      <c r="T47" s="57">
        <f t="shared" si="19"/>
        <v>0</v>
      </c>
      <c r="U47" s="58">
        <f t="shared" si="19"/>
        <v>14075376.260285918</v>
      </c>
    </row>
    <row r="48" spans="2:21" x14ac:dyDescent="0.25">
      <c r="B48" s="23"/>
      <c r="C48" s="24"/>
      <c r="D48" s="24"/>
      <c r="E48" s="24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6"/>
    </row>
    <row r="49" spans="2:21" ht="15.75" x14ac:dyDescent="0.25">
      <c r="B49" s="54" t="s">
        <v>13</v>
      </c>
      <c r="C49" s="24"/>
      <c r="D49" s="24"/>
      <c r="E49" s="24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6"/>
    </row>
    <row r="50" spans="2:21" x14ac:dyDescent="0.25">
      <c r="B50" s="55" t="s">
        <v>4</v>
      </c>
      <c r="C50" s="17">
        <f>VLOOKUP(B49,Promote_Structure,4,FALSE)</f>
        <v>0.1</v>
      </c>
      <c r="D50" s="12"/>
      <c r="E50" s="12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2"/>
      <c r="R50" s="12"/>
      <c r="S50" s="12"/>
      <c r="T50" s="12"/>
      <c r="U50" s="56"/>
    </row>
    <row r="51" spans="2:21" x14ac:dyDescent="0.25">
      <c r="B51" s="23" t="s">
        <v>11</v>
      </c>
      <c r="C51" s="24"/>
      <c r="D51" s="24"/>
      <c r="E51" s="24"/>
      <c r="F51" s="57">
        <f t="shared" ref="F51:U51" si="20">IF(F30="","",E56)</f>
        <v>0</v>
      </c>
      <c r="G51" s="57">
        <f t="shared" si="20"/>
        <v>12600000</v>
      </c>
      <c r="H51" s="57">
        <f t="shared" si="20"/>
        <v>12770918.936078399</v>
      </c>
      <c r="I51" s="57">
        <f t="shared" si="20"/>
        <v>12928553.549805814</v>
      </c>
      <c r="J51" s="57">
        <f t="shared" si="20"/>
        <v>13071119.765707767</v>
      </c>
      <c r="K51" s="57">
        <f t="shared" si="20"/>
        <v>13196648.266113732</v>
      </c>
      <c r="L51" s="57">
        <f t="shared" si="20"/>
        <v>13302965.864417825</v>
      </c>
      <c r="M51" s="57">
        <f t="shared" si="20"/>
        <v>13387675.014127716</v>
      </c>
      <c r="N51" s="57">
        <f t="shared" si="20"/>
        <v>13448131.26725762</v>
      </c>
      <c r="O51" s="57">
        <f t="shared" si="20"/>
        <v>13481418.476976272</v>
      </c>
      <c r="P51" s="57">
        <f t="shared" si="20"/>
        <v>13484321.51891168</v>
      </c>
      <c r="Q51" s="57">
        <f t="shared" si="20"/>
        <v>13453296.282954197</v>
      </c>
      <c r="R51" s="57">
        <f t="shared" si="20"/>
        <v>13384436.662583236</v>
      </c>
      <c r="S51" s="57">
        <f t="shared" si="20"/>
        <v>13273438.241445184</v>
      </c>
      <c r="T51" s="57">
        <f t="shared" si="20"/>
        <v>13115558.346882381</v>
      </c>
      <c r="U51" s="58">
        <f t="shared" si="20"/>
        <v>12905572.107082687</v>
      </c>
    </row>
    <row r="52" spans="2:21" x14ac:dyDescent="0.25">
      <c r="B52" s="23" t="s">
        <v>10</v>
      </c>
      <c r="C52" s="24"/>
      <c r="D52" s="24"/>
      <c r="E52" s="24"/>
      <c r="F52" s="57">
        <f t="shared" ref="F52:U52" si="21">IF(F51="","",F51*$C50)</f>
        <v>0</v>
      </c>
      <c r="G52" s="57">
        <f t="shared" si="21"/>
        <v>1260000</v>
      </c>
      <c r="H52" s="57">
        <f t="shared" si="21"/>
        <v>1277091.8936078399</v>
      </c>
      <c r="I52" s="57">
        <f t="shared" si="21"/>
        <v>1292855.3549805814</v>
      </c>
      <c r="J52" s="57">
        <f t="shared" si="21"/>
        <v>1307111.9765707767</v>
      </c>
      <c r="K52" s="57">
        <f t="shared" si="21"/>
        <v>1319664.8266113733</v>
      </c>
      <c r="L52" s="57">
        <f t="shared" si="21"/>
        <v>1330296.5864417825</v>
      </c>
      <c r="M52" s="57">
        <f t="shared" si="21"/>
        <v>1338767.5014127716</v>
      </c>
      <c r="N52" s="57">
        <f t="shared" si="21"/>
        <v>1344813.1267257622</v>
      </c>
      <c r="O52" s="57">
        <f t="shared" si="21"/>
        <v>1348141.8476976273</v>
      </c>
      <c r="P52" s="57">
        <f t="shared" si="21"/>
        <v>1348432.1518911682</v>
      </c>
      <c r="Q52" s="57">
        <f t="shared" si="21"/>
        <v>1345329.6282954197</v>
      </c>
      <c r="R52" s="57">
        <f t="shared" si="21"/>
        <v>1338443.6662583237</v>
      </c>
      <c r="S52" s="57">
        <f t="shared" si="21"/>
        <v>1327343.8241445185</v>
      </c>
      <c r="T52" s="57">
        <f t="shared" si="21"/>
        <v>1311555.8346882381</v>
      </c>
      <c r="U52" s="58">
        <f t="shared" si="21"/>
        <v>1290557.2107082689</v>
      </c>
    </row>
    <row r="53" spans="2:21" x14ac:dyDescent="0.25">
      <c r="B53" s="23" t="s">
        <v>9</v>
      </c>
      <c r="C53" s="24"/>
      <c r="D53" s="24"/>
      <c r="E53" s="24"/>
      <c r="F53" s="57">
        <f t="shared" ref="F53:U53" si="22">IF(F51="","",-MIN(0,F$32*Equity_Share_LP))</f>
        <v>12600000</v>
      </c>
      <c r="G53" s="57">
        <f t="shared" si="22"/>
        <v>0</v>
      </c>
      <c r="H53" s="57">
        <f t="shared" si="22"/>
        <v>0</v>
      </c>
      <c r="I53" s="57">
        <f t="shared" si="22"/>
        <v>0</v>
      </c>
      <c r="J53" s="57">
        <f t="shared" si="22"/>
        <v>0</v>
      </c>
      <c r="K53" s="57">
        <f t="shared" si="22"/>
        <v>0</v>
      </c>
      <c r="L53" s="57">
        <f t="shared" si="22"/>
        <v>0</v>
      </c>
      <c r="M53" s="57">
        <f t="shared" si="22"/>
        <v>0</v>
      </c>
      <c r="N53" s="57">
        <f t="shared" si="22"/>
        <v>0</v>
      </c>
      <c r="O53" s="57">
        <f t="shared" si="22"/>
        <v>0</v>
      </c>
      <c r="P53" s="57">
        <f t="shared" si="22"/>
        <v>0</v>
      </c>
      <c r="Q53" s="57">
        <f t="shared" si="22"/>
        <v>0</v>
      </c>
      <c r="R53" s="57">
        <f t="shared" si="22"/>
        <v>0</v>
      </c>
      <c r="S53" s="57">
        <f t="shared" si="22"/>
        <v>0</v>
      </c>
      <c r="T53" s="57">
        <f t="shared" si="22"/>
        <v>0</v>
      </c>
      <c r="U53" s="58">
        <f t="shared" si="22"/>
        <v>0</v>
      </c>
    </row>
    <row r="54" spans="2:21" x14ac:dyDescent="0.25">
      <c r="B54" s="23" t="s">
        <v>8</v>
      </c>
      <c r="C54" s="24"/>
      <c r="D54" s="24"/>
      <c r="E54" s="24"/>
      <c r="F54" s="57">
        <f t="shared" ref="F54:U54" si="23">F44</f>
        <v>0</v>
      </c>
      <c r="G54" s="57">
        <f t="shared" si="23"/>
        <v>1089081.0639216006</v>
      </c>
      <c r="H54" s="57">
        <f t="shared" si="23"/>
        <v>1119457.2798804247</v>
      </c>
      <c r="I54" s="57">
        <f t="shared" si="23"/>
        <v>1150289.1390786308</v>
      </c>
      <c r="J54" s="57">
        <f t="shared" si="23"/>
        <v>1181583.4761648099</v>
      </c>
      <c r="K54" s="57">
        <f t="shared" si="23"/>
        <v>1213347.2283072816</v>
      </c>
      <c r="L54" s="57">
        <f t="shared" si="23"/>
        <v>1245587.4367318908</v>
      </c>
      <c r="M54" s="57">
        <f t="shared" si="23"/>
        <v>1278311.2482828689</v>
      </c>
      <c r="N54" s="57">
        <f t="shared" si="23"/>
        <v>1311525.9170071117</v>
      </c>
      <c r="O54" s="57">
        <f t="shared" si="23"/>
        <v>1345238.8057622178</v>
      </c>
      <c r="P54" s="57">
        <f t="shared" si="23"/>
        <v>1379457.387848651</v>
      </c>
      <c r="Q54" s="57">
        <f t="shared" si="23"/>
        <v>1414189.2486663808</v>
      </c>
      <c r="R54" s="57">
        <f t="shared" si="23"/>
        <v>1449442.0873963761</v>
      </c>
      <c r="S54" s="57">
        <f t="shared" si="23"/>
        <v>1485223.7187073217</v>
      </c>
      <c r="T54" s="57">
        <f t="shared" si="23"/>
        <v>1521542.0744879311</v>
      </c>
      <c r="U54" s="58">
        <f t="shared" si="23"/>
        <v>7063986.6647687592</v>
      </c>
    </row>
    <row r="55" spans="2:21" x14ac:dyDescent="0.25">
      <c r="B55" s="23" t="str">
        <f>"Distributions to LP "&amp;B49</f>
        <v>Distributions to LP Hurdle 2</v>
      </c>
      <c r="C55" s="24"/>
      <c r="D55" s="24"/>
      <c r="E55" s="24"/>
      <c r="F55" s="57">
        <f t="shared" ref="F55" si="24">IF(F51="","",MIN(F51+F52-F54,F47*$I$12))</f>
        <v>0</v>
      </c>
      <c r="G55" s="57">
        <f t="shared" ref="G55:T55" si="25">IF(G51="","",MIN(G51+G52-G54,G47*$I$11))</f>
        <v>0</v>
      </c>
      <c r="H55" s="57">
        <f t="shared" si="25"/>
        <v>0</v>
      </c>
      <c r="I55" s="57">
        <f t="shared" si="25"/>
        <v>0</v>
      </c>
      <c r="J55" s="57">
        <f t="shared" si="25"/>
        <v>0</v>
      </c>
      <c r="K55" s="57">
        <f t="shared" si="25"/>
        <v>0</v>
      </c>
      <c r="L55" s="57">
        <f t="shared" si="25"/>
        <v>0</v>
      </c>
      <c r="M55" s="57">
        <f t="shared" si="25"/>
        <v>0</v>
      </c>
      <c r="N55" s="57">
        <f t="shared" si="25"/>
        <v>0</v>
      </c>
      <c r="O55" s="57">
        <f t="shared" si="25"/>
        <v>0</v>
      </c>
      <c r="P55" s="57">
        <f t="shared" si="25"/>
        <v>0</v>
      </c>
      <c r="Q55" s="57">
        <f t="shared" si="25"/>
        <v>0</v>
      </c>
      <c r="R55" s="57">
        <f t="shared" si="25"/>
        <v>0</v>
      </c>
      <c r="S55" s="57">
        <f t="shared" si="25"/>
        <v>0</v>
      </c>
      <c r="T55" s="57">
        <f t="shared" si="25"/>
        <v>0</v>
      </c>
      <c r="U55" s="58">
        <f>IF(U51="","",MIN(U51+U52-U54,U47*$I$11))</f>
        <v>7132142.6530221961</v>
      </c>
    </row>
    <row r="56" spans="2:21" x14ac:dyDescent="0.25">
      <c r="B56" s="23" t="s">
        <v>7</v>
      </c>
      <c r="C56" s="24"/>
      <c r="D56" s="24"/>
      <c r="E56" s="24"/>
      <c r="F56" s="57">
        <f>F51+F53-F55</f>
        <v>12600000</v>
      </c>
      <c r="G56" s="57">
        <f t="shared" ref="G56:U56" si="26">IF(G51="","",G51+G52+G53-G54-G55)</f>
        <v>12770918.936078399</v>
      </c>
      <c r="H56" s="57">
        <f t="shared" si="26"/>
        <v>12928553.549805814</v>
      </c>
      <c r="I56" s="57">
        <f t="shared" si="26"/>
        <v>13071119.765707767</v>
      </c>
      <c r="J56" s="57">
        <f t="shared" si="26"/>
        <v>13196648.266113732</v>
      </c>
      <c r="K56" s="57">
        <f t="shared" si="26"/>
        <v>13302965.864417825</v>
      </c>
      <c r="L56" s="57">
        <f t="shared" si="26"/>
        <v>13387675.014127716</v>
      </c>
      <c r="M56" s="57">
        <f t="shared" si="26"/>
        <v>13448131.26725762</v>
      </c>
      <c r="N56" s="57">
        <f t="shared" si="26"/>
        <v>13481418.476976272</v>
      </c>
      <c r="O56" s="57">
        <f t="shared" si="26"/>
        <v>13484321.51891168</v>
      </c>
      <c r="P56" s="57">
        <f t="shared" si="26"/>
        <v>13453296.282954197</v>
      </c>
      <c r="Q56" s="57">
        <f t="shared" si="26"/>
        <v>13384436.662583236</v>
      </c>
      <c r="R56" s="57">
        <f t="shared" si="26"/>
        <v>13273438.241445184</v>
      </c>
      <c r="S56" s="57">
        <f t="shared" si="26"/>
        <v>13115558.346882381</v>
      </c>
      <c r="T56" s="57">
        <f t="shared" si="26"/>
        <v>12905572.107082687</v>
      </c>
      <c r="U56" s="58">
        <f t="shared" si="26"/>
        <v>0</v>
      </c>
    </row>
    <row r="57" spans="2:21" x14ac:dyDescent="0.25">
      <c r="B57" s="59">
        <f>C50</f>
        <v>0.1</v>
      </c>
      <c r="C57" s="24"/>
      <c r="D57" s="24"/>
      <c r="E57" s="71">
        <f>IRR(F57:U57)</f>
        <v>0.10000000000000009</v>
      </c>
      <c r="F57" s="57">
        <f>IF(F51="","",-F53+F55)</f>
        <v>-12600000</v>
      </c>
      <c r="G57" s="57">
        <f t="shared" ref="G57:U57" si="27">IF(G51="","",-G53+G54+G55)</f>
        <v>1089081.0639216006</v>
      </c>
      <c r="H57" s="57">
        <f t="shared" si="27"/>
        <v>1119457.2798804247</v>
      </c>
      <c r="I57" s="57">
        <f t="shared" si="27"/>
        <v>1150289.1390786308</v>
      </c>
      <c r="J57" s="57">
        <f t="shared" si="27"/>
        <v>1181583.4761648099</v>
      </c>
      <c r="K57" s="57">
        <f t="shared" si="27"/>
        <v>1213347.2283072816</v>
      </c>
      <c r="L57" s="57">
        <f t="shared" si="27"/>
        <v>1245587.4367318908</v>
      </c>
      <c r="M57" s="57">
        <f t="shared" si="27"/>
        <v>1278311.2482828689</v>
      </c>
      <c r="N57" s="57">
        <f t="shared" si="27"/>
        <v>1311525.9170071117</v>
      </c>
      <c r="O57" s="57">
        <f t="shared" si="27"/>
        <v>1345238.8057622178</v>
      </c>
      <c r="P57" s="57">
        <f t="shared" si="27"/>
        <v>1379457.387848651</v>
      </c>
      <c r="Q57" s="57">
        <f t="shared" si="27"/>
        <v>1414189.2486663808</v>
      </c>
      <c r="R57" s="57">
        <f t="shared" si="27"/>
        <v>1449442.0873963761</v>
      </c>
      <c r="S57" s="57">
        <f t="shared" si="27"/>
        <v>1485223.7187073217</v>
      </c>
      <c r="T57" s="57">
        <f t="shared" si="27"/>
        <v>1521542.0744879311</v>
      </c>
      <c r="U57" s="58">
        <f t="shared" si="27"/>
        <v>14196129.317790955</v>
      </c>
    </row>
    <row r="58" spans="2:21" x14ac:dyDescent="0.25">
      <c r="B58" s="60" t="s">
        <v>6</v>
      </c>
      <c r="C58" s="61" t="s">
        <v>6</v>
      </c>
      <c r="D58" s="61" t="s">
        <v>6</v>
      </c>
      <c r="E58" s="61" t="s">
        <v>6</v>
      </c>
      <c r="F58" s="4" t="str">
        <f t="shared" ref="F58:U58" si="28">IF(F51="","",".")</f>
        <v>.</v>
      </c>
      <c r="G58" s="4" t="str">
        <f t="shared" si="28"/>
        <v>.</v>
      </c>
      <c r="H58" s="4" t="str">
        <f t="shared" si="28"/>
        <v>.</v>
      </c>
      <c r="I58" s="4" t="str">
        <f t="shared" si="28"/>
        <v>.</v>
      </c>
      <c r="J58" s="4" t="str">
        <f t="shared" si="28"/>
        <v>.</v>
      </c>
      <c r="K58" s="4" t="str">
        <f t="shared" si="28"/>
        <v>.</v>
      </c>
      <c r="L58" s="4" t="str">
        <f t="shared" si="28"/>
        <v>.</v>
      </c>
      <c r="M58" s="4" t="str">
        <f t="shared" si="28"/>
        <v>.</v>
      </c>
      <c r="N58" s="4" t="str">
        <f t="shared" si="28"/>
        <v>.</v>
      </c>
      <c r="O58" s="4" t="str">
        <f t="shared" si="28"/>
        <v>.</v>
      </c>
      <c r="P58" s="4" t="str">
        <f t="shared" si="28"/>
        <v>.</v>
      </c>
      <c r="Q58" s="4" t="str">
        <f t="shared" si="28"/>
        <v>.</v>
      </c>
      <c r="R58" s="4" t="str">
        <f t="shared" si="28"/>
        <v>.</v>
      </c>
      <c r="S58" s="4" t="str">
        <f t="shared" si="28"/>
        <v>.</v>
      </c>
      <c r="T58" s="4" t="str">
        <f t="shared" si="28"/>
        <v>.</v>
      </c>
      <c r="U58" s="62" t="str">
        <f t="shared" si="28"/>
        <v>.</v>
      </c>
    </row>
    <row r="59" spans="2:21" x14ac:dyDescent="0.25">
      <c r="B59" s="23" t="s">
        <v>2</v>
      </c>
      <c r="C59" s="24"/>
      <c r="D59" s="24"/>
      <c r="E59" s="24"/>
      <c r="F59" s="57">
        <f t="shared" ref="F59:U59" si="29">IF(F51="","",F55)</f>
        <v>0</v>
      </c>
      <c r="G59" s="57">
        <f t="shared" si="29"/>
        <v>0</v>
      </c>
      <c r="H59" s="57">
        <f t="shared" si="29"/>
        <v>0</v>
      </c>
      <c r="I59" s="57">
        <f t="shared" si="29"/>
        <v>0</v>
      </c>
      <c r="J59" s="57">
        <f t="shared" si="29"/>
        <v>0</v>
      </c>
      <c r="K59" s="57">
        <f t="shared" si="29"/>
        <v>0</v>
      </c>
      <c r="L59" s="57">
        <f t="shared" si="29"/>
        <v>0</v>
      </c>
      <c r="M59" s="57">
        <f t="shared" si="29"/>
        <v>0</v>
      </c>
      <c r="N59" s="57">
        <f t="shared" si="29"/>
        <v>0</v>
      </c>
      <c r="O59" s="57">
        <f t="shared" si="29"/>
        <v>0</v>
      </c>
      <c r="P59" s="57">
        <f t="shared" si="29"/>
        <v>0</v>
      </c>
      <c r="Q59" s="57">
        <f t="shared" si="29"/>
        <v>0</v>
      </c>
      <c r="R59" s="57">
        <f t="shared" si="29"/>
        <v>0</v>
      </c>
      <c r="S59" s="57">
        <f t="shared" si="29"/>
        <v>0</v>
      </c>
      <c r="T59" s="57">
        <f t="shared" si="29"/>
        <v>0</v>
      </c>
      <c r="U59" s="58">
        <f t="shared" si="29"/>
        <v>7132142.6530221961</v>
      </c>
    </row>
    <row r="60" spans="2:21" x14ac:dyDescent="0.25">
      <c r="B60" s="23" t="s">
        <v>1</v>
      </c>
      <c r="C60" s="24"/>
      <c r="D60" s="24"/>
      <c r="E60" s="24"/>
      <c r="F60" s="57">
        <f t="shared" ref="F60:U60" si="30">IF(F51="","",F59/VLOOKUP($B49,Promote_Structure,8,FALSE)*VLOOKUP($B49,Promote_Structure,7,FALSE))</f>
        <v>0</v>
      </c>
      <c r="G60" s="57">
        <f t="shared" si="30"/>
        <v>0</v>
      </c>
      <c r="H60" s="57">
        <f t="shared" si="30"/>
        <v>0</v>
      </c>
      <c r="I60" s="57">
        <f t="shared" si="30"/>
        <v>0</v>
      </c>
      <c r="J60" s="57">
        <f t="shared" si="30"/>
        <v>0</v>
      </c>
      <c r="K60" s="57">
        <f t="shared" si="30"/>
        <v>0</v>
      </c>
      <c r="L60" s="57">
        <f t="shared" si="30"/>
        <v>0</v>
      </c>
      <c r="M60" s="57">
        <f t="shared" si="30"/>
        <v>0</v>
      </c>
      <c r="N60" s="57">
        <f t="shared" si="30"/>
        <v>0</v>
      </c>
      <c r="O60" s="57">
        <f t="shared" si="30"/>
        <v>0</v>
      </c>
      <c r="P60" s="57">
        <f t="shared" si="30"/>
        <v>0</v>
      </c>
      <c r="Q60" s="57">
        <f t="shared" si="30"/>
        <v>0</v>
      </c>
      <c r="R60" s="57">
        <f t="shared" si="30"/>
        <v>0</v>
      </c>
      <c r="S60" s="57">
        <f t="shared" si="30"/>
        <v>0</v>
      </c>
      <c r="T60" s="57">
        <f t="shared" si="30"/>
        <v>0</v>
      </c>
      <c r="U60" s="58">
        <f t="shared" si="30"/>
        <v>1672971.7334249592</v>
      </c>
    </row>
    <row r="61" spans="2:21" x14ac:dyDescent="0.25">
      <c r="B61" s="23" t="str">
        <f>"Total Distributions ("&amp;B49&amp;")"</f>
        <v>Total Distributions (Hurdle 2)</v>
      </c>
      <c r="C61" s="24"/>
      <c r="D61" s="24"/>
      <c r="E61" s="24"/>
      <c r="F61" s="57">
        <f t="shared" ref="F61:U61" si="31">IF(F51="","",F59+F60)</f>
        <v>0</v>
      </c>
      <c r="G61" s="57">
        <f t="shared" si="31"/>
        <v>0</v>
      </c>
      <c r="H61" s="57">
        <f t="shared" si="31"/>
        <v>0</v>
      </c>
      <c r="I61" s="57">
        <f t="shared" si="31"/>
        <v>0</v>
      </c>
      <c r="J61" s="57">
        <f t="shared" si="31"/>
        <v>0</v>
      </c>
      <c r="K61" s="57">
        <f t="shared" si="31"/>
        <v>0</v>
      </c>
      <c r="L61" s="57">
        <f t="shared" si="31"/>
        <v>0</v>
      </c>
      <c r="M61" s="57">
        <f t="shared" si="31"/>
        <v>0</v>
      </c>
      <c r="N61" s="57">
        <f t="shared" si="31"/>
        <v>0</v>
      </c>
      <c r="O61" s="57">
        <f t="shared" si="31"/>
        <v>0</v>
      </c>
      <c r="P61" s="57">
        <f t="shared" si="31"/>
        <v>0</v>
      </c>
      <c r="Q61" s="57">
        <f t="shared" si="31"/>
        <v>0</v>
      </c>
      <c r="R61" s="57">
        <f t="shared" si="31"/>
        <v>0</v>
      </c>
      <c r="S61" s="57">
        <f t="shared" si="31"/>
        <v>0</v>
      </c>
      <c r="T61" s="57">
        <f t="shared" si="31"/>
        <v>0</v>
      </c>
      <c r="U61" s="58">
        <f t="shared" si="31"/>
        <v>8805114.3864471558</v>
      </c>
    </row>
    <row r="62" spans="2:21" x14ac:dyDescent="0.25">
      <c r="B62" s="23" t="s">
        <v>0</v>
      </c>
      <c r="C62" s="24"/>
      <c r="D62" s="24"/>
      <c r="E62" s="24"/>
      <c r="F62" s="57">
        <f t="shared" ref="F62:U62" si="32">IF(F51="","",MAX(F$32-F46-F61,0))</f>
        <v>0</v>
      </c>
      <c r="G62" s="57">
        <f t="shared" si="32"/>
        <v>0</v>
      </c>
      <c r="H62" s="57">
        <f t="shared" si="32"/>
        <v>0</v>
      </c>
      <c r="I62" s="57">
        <f t="shared" si="32"/>
        <v>0</v>
      </c>
      <c r="J62" s="57">
        <f t="shared" si="32"/>
        <v>0</v>
      </c>
      <c r="K62" s="57">
        <f t="shared" si="32"/>
        <v>0</v>
      </c>
      <c r="L62" s="57">
        <f t="shared" si="32"/>
        <v>0</v>
      </c>
      <c r="M62" s="57">
        <f t="shared" si="32"/>
        <v>0</v>
      </c>
      <c r="N62" s="57">
        <f t="shared" si="32"/>
        <v>0</v>
      </c>
      <c r="O62" s="57">
        <f t="shared" si="32"/>
        <v>0</v>
      </c>
      <c r="P62" s="57">
        <f t="shared" si="32"/>
        <v>0</v>
      </c>
      <c r="Q62" s="57">
        <f t="shared" si="32"/>
        <v>0</v>
      </c>
      <c r="R62" s="57">
        <f t="shared" si="32"/>
        <v>0</v>
      </c>
      <c r="S62" s="57">
        <f t="shared" si="32"/>
        <v>0</v>
      </c>
      <c r="T62" s="57">
        <f t="shared" si="32"/>
        <v>0</v>
      </c>
      <c r="U62" s="58">
        <f t="shared" si="32"/>
        <v>5270261.8738387618</v>
      </c>
    </row>
    <row r="63" spans="2:21" x14ac:dyDescent="0.25">
      <c r="B63" s="23"/>
      <c r="C63" s="24"/>
      <c r="D63" s="24"/>
      <c r="E63" s="24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6"/>
    </row>
    <row r="64" spans="2:21" ht="15.75" x14ac:dyDescent="0.25">
      <c r="B64" s="54" t="s">
        <v>12</v>
      </c>
      <c r="C64" s="24"/>
      <c r="D64" s="24"/>
      <c r="E64" s="24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6"/>
    </row>
    <row r="65" spans="2:21" x14ac:dyDescent="0.25">
      <c r="B65" s="55" t="s">
        <v>4</v>
      </c>
      <c r="C65" s="17">
        <f>VLOOKUP(B64,Promote_Structure,4,FALSE)</f>
        <v>0.12</v>
      </c>
      <c r="D65" s="12"/>
      <c r="E65" s="12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2"/>
      <c r="R65" s="12"/>
      <c r="S65" s="12"/>
      <c r="T65" s="12"/>
      <c r="U65" s="56"/>
    </row>
    <row r="66" spans="2:21" x14ac:dyDescent="0.25">
      <c r="B66" s="23" t="s">
        <v>11</v>
      </c>
      <c r="C66" s="24"/>
      <c r="D66" s="24"/>
      <c r="E66" s="24"/>
      <c r="F66" s="57">
        <f t="shared" ref="F66:U66" si="33">IF(F45="","",E71)</f>
        <v>0</v>
      </c>
      <c r="G66" s="57">
        <f t="shared" si="33"/>
        <v>12600000</v>
      </c>
      <c r="H66" s="57">
        <f t="shared" si="33"/>
        <v>13022918.936078399</v>
      </c>
      <c r="I66" s="57">
        <f t="shared" si="33"/>
        <v>13466211.928527383</v>
      </c>
      <c r="J66" s="57">
        <f t="shared" si="33"/>
        <v>13931868.220872039</v>
      </c>
      <c r="K66" s="57">
        <f t="shared" si="33"/>
        <v>14422108.931211874</v>
      </c>
      <c r="L66" s="57">
        <f t="shared" si="33"/>
        <v>14939414.774650019</v>
      </c>
      <c r="M66" s="57">
        <f t="shared" si="33"/>
        <v>15486557.110876132</v>
      </c>
      <c r="N66" s="57">
        <f t="shared" si="33"/>
        <v>16066632.715898398</v>
      </c>
      <c r="O66" s="57">
        <f t="shared" si="33"/>
        <v>16683102.724799097</v>
      </c>
      <c r="P66" s="57">
        <f t="shared" si="33"/>
        <v>17339836.246012773</v>
      </c>
      <c r="Q66" s="57">
        <f t="shared" si="33"/>
        <v>18041159.207685657</v>
      </c>
      <c r="R66" s="57">
        <f t="shared" si="33"/>
        <v>18791909.063941557</v>
      </c>
      <c r="S66" s="57">
        <f t="shared" si="33"/>
        <v>19597496.064218167</v>
      </c>
      <c r="T66" s="57">
        <f t="shared" si="33"/>
        <v>20463971.873217024</v>
      </c>
      <c r="U66" s="58">
        <f t="shared" si="33"/>
        <v>21398106.423515134</v>
      </c>
    </row>
    <row r="67" spans="2:21" x14ac:dyDescent="0.25">
      <c r="B67" s="23" t="s">
        <v>10</v>
      </c>
      <c r="C67" s="24"/>
      <c r="D67" s="24"/>
      <c r="E67" s="24"/>
      <c r="F67" s="57">
        <f t="shared" ref="F67:U67" si="34">IF(F66="","",F66*$C65)</f>
        <v>0</v>
      </c>
      <c r="G67" s="57">
        <f t="shared" si="34"/>
        <v>1512000</v>
      </c>
      <c r="H67" s="57">
        <f t="shared" si="34"/>
        <v>1562750.272329408</v>
      </c>
      <c r="I67" s="57">
        <f t="shared" si="34"/>
        <v>1615945.431423286</v>
      </c>
      <c r="J67" s="57">
        <f t="shared" si="34"/>
        <v>1671824.1865046446</v>
      </c>
      <c r="K67" s="57">
        <f t="shared" si="34"/>
        <v>1730653.0717454248</v>
      </c>
      <c r="L67" s="57">
        <f t="shared" si="34"/>
        <v>1792729.7729580023</v>
      </c>
      <c r="M67" s="57">
        <f t="shared" si="34"/>
        <v>1858386.8533051359</v>
      </c>
      <c r="N67" s="57">
        <f t="shared" si="34"/>
        <v>1927995.9259078077</v>
      </c>
      <c r="O67" s="57">
        <f t="shared" si="34"/>
        <v>2001972.3269758916</v>
      </c>
      <c r="P67" s="57">
        <f t="shared" si="34"/>
        <v>2080780.3495215327</v>
      </c>
      <c r="Q67" s="57">
        <f t="shared" si="34"/>
        <v>2164939.1049222788</v>
      </c>
      <c r="R67" s="57">
        <f t="shared" si="34"/>
        <v>2255029.0876729866</v>
      </c>
      <c r="S67" s="57">
        <f t="shared" si="34"/>
        <v>2351699.5277061798</v>
      </c>
      <c r="T67" s="57">
        <f t="shared" si="34"/>
        <v>2455676.6247860426</v>
      </c>
      <c r="U67" s="58">
        <f t="shared" si="34"/>
        <v>2567772.7708218158</v>
      </c>
    </row>
    <row r="68" spans="2:21" x14ac:dyDescent="0.25">
      <c r="B68" s="23" t="s">
        <v>9</v>
      </c>
      <c r="C68" s="24"/>
      <c r="D68" s="24"/>
      <c r="E68" s="24"/>
      <c r="F68" s="57">
        <f t="shared" ref="F68:U68" si="35">IF(F66="","",-MIN(0,F$32*Equity_Share_LP))</f>
        <v>12600000</v>
      </c>
      <c r="G68" s="57">
        <f t="shared" si="35"/>
        <v>0</v>
      </c>
      <c r="H68" s="57">
        <f t="shared" si="35"/>
        <v>0</v>
      </c>
      <c r="I68" s="57">
        <f t="shared" si="35"/>
        <v>0</v>
      </c>
      <c r="J68" s="57">
        <f t="shared" si="35"/>
        <v>0</v>
      </c>
      <c r="K68" s="57">
        <f t="shared" si="35"/>
        <v>0</v>
      </c>
      <c r="L68" s="57">
        <f t="shared" si="35"/>
        <v>0</v>
      </c>
      <c r="M68" s="57">
        <f t="shared" si="35"/>
        <v>0</v>
      </c>
      <c r="N68" s="57">
        <f t="shared" si="35"/>
        <v>0</v>
      </c>
      <c r="O68" s="57">
        <f t="shared" si="35"/>
        <v>0</v>
      </c>
      <c r="P68" s="57">
        <f t="shared" si="35"/>
        <v>0</v>
      </c>
      <c r="Q68" s="57">
        <f t="shared" si="35"/>
        <v>0</v>
      </c>
      <c r="R68" s="57">
        <f t="shared" si="35"/>
        <v>0</v>
      </c>
      <c r="S68" s="57">
        <f t="shared" si="35"/>
        <v>0</v>
      </c>
      <c r="T68" s="57">
        <f t="shared" si="35"/>
        <v>0</v>
      </c>
      <c r="U68" s="58">
        <f t="shared" si="35"/>
        <v>0</v>
      </c>
    </row>
    <row r="69" spans="2:21" x14ac:dyDescent="0.25">
      <c r="B69" s="23" t="s">
        <v>8</v>
      </c>
      <c r="C69" s="24"/>
      <c r="D69" s="24"/>
      <c r="E69" s="24"/>
      <c r="F69" s="57">
        <f t="shared" ref="F69:U69" si="36">IF(F66="","",F59+F44)</f>
        <v>0</v>
      </c>
      <c r="G69" s="57">
        <f t="shared" si="36"/>
        <v>1089081.0639216006</v>
      </c>
      <c r="H69" s="57">
        <f t="shared" si="36"/>
        <v>1119457.2798804247</v>
      </c>
      <c r="I69" s="57">
        <f t="shared" si="36"/>
        <v>1150289.1390786308</v>
      </c>
      <c r="J69" s="57">
        <f t="shared" si="36"/>
        <v>1181583.4761648099</v>
      </c>
      <c r="K69" s="57">
        <f t="shared" si="36"/>
        <v>1213347.2283072816</v>
      </c>
      <c r="L69" s="57">
        <f t="shared" si="36"/>
        <v>1245587.4367318908</v>
      </c>
      <c r="M69" s="57">
        <f t="shared" si="36"/>
        <v>1278311.2482828689</v>
      </c>
      <c r="N69" s="57">
        <f t="shared" si="36"/>
        <v>1311525.9170071117</v>
      </c>
      <c r="O69" s="57">
        <f t="shared" si="36"/>
        <v>1345238.8057622178</v>
      </c>
      <c r="P69" s="57">
        <f t="shared" si="36"/>
        <v>1379457.387848651</v>
      </c>
      <c r="Q69" s="57">
        <f t="shared" si="36"/>
        <v>1414189.2486663808</v>
      </c>
      <c r="R69" s="57">
        <f t="shared" si="36"/>
        <v>1449442.0873963761</v>
      </c>
      <c r="S69" s="57">
        <f t="shared" si="36"/>
        <v>1485223.7187073217</v>
      </c>
      <c r="T69" s="57">
        <f t="shared" si="36"/>
        <v>1521542.0744879311</v>
      </c>
      <c r="U69" s="58">
        <f t="shared" si="36"/>
        <v>14196129.317790955</v>
      </c>
    </row>
    <row r="70" spans="2:21" x14ac:dyDescent="0.25">
      <c r="B70" s="23" t="str">
        <f>"Distributions to LP "&amp;B64</f>
        <v>Distributions to LP Hurdle 3</v>
      </c>
      <c r="C70" s="24"/>
      <c r="D70" s="24"/>
      <c r="E70" s="24"/>
      <c r="F70" s="57">
        <f t="shared" ref="F70:O70" si="37">IF(F66="","",MIN(F66+F67-F69,F62*$I$12))</f>
        <v>0</v>
      </c>
      <c r="G70" s="57">
        <f t="shared" si="37"/>
        <v>0</v>
      </c>
      <c r="H70" s="57">
        <f t="shared" si="37"/>
        <v>0</v>
      </c>
      <c r="I70" s="57">
        <f t="shared" si="37"/>
        <v>0</v>
      </c>
      <c r="J70" s="57">
        <f t="shared" si="37"/>
        <v>0</v>
      </c>
      <c r="K70" s="57">
        <f t="shared" si="37"/>
        <v>0</v>
      </c>
      <c r="L70" s="57">
        <f t="shared" si="37"/>
        <v>0</v>
      </c>
      <c r="M70" s="57">
        <f t="shared" si="37"/>
        <v>0</v>
      </c>
      <c r="N70" s="57">
        <f t="shared" si="37"/>
        <v>0</v>
      </c>
      <c r="O70" s="57">
        <f t="shared" si="37"/>
        <v>0</v>
      </c>
      <c r="P70" s="57">
        <f>IF(P66="","",MIN(P66+P67-P69,P62*$I$12))</f>
        <v>0</v>
      </c>
      <c r="Q70" s="57">
        <f t="shared" ref="Q70:U70" si="38">IF(Q66="","",MIN(Q66+Q67-Q69,Q62*$I$12))</f>
        <v>0</v>
      </c>
      <c r="R70" s="57">
        <f t="shared" si="38"/>
        <v>0</v>
      </c>
      <c r="S70" s="57">
        <f t="shared" si="38"/>
        <v>0</v>
      </c>
      <c r="T70" s="57">
        <f t="shared" si="38"/>
        <v>0</v>
      </c>
      <c r="U70" s="58">
        <f t="shared" si="38"/>
        <v>3557426.7648411645</v>
      </c>
    </row>
    <row r="71" spans="2:21" x14ac:dyDescent="0.25">
      <c r="B71" s="23" t="s">
        <v>7</v>
      </c>
      <c r="C71" s="24"/>
      <c r="D71" s="24"/>
      <c r="E71" s="24"/>
      <c r="F71" s="57">
        <f>F66+F68-F70</f>
        <v>12600000</v>
      </c>
      <c r="G71" s="57">
        <f t="shared" ref="G71:U71" si="39">IF(G66="","",G66+G67+G68-G69-G70)</f>
        <v>13022918.936078399</v>
      </c>
      <c r="H71" s="57">
        <f t="shared" si="39"/>
        <v>13466211.928527383</v>
      </c>
      <c r="I71" s="57">
        <f t="shared" si="39"/>
        <v>13931868.220872039</v>
      </c>
      <c r="J71" s="57">
        <f t="shared" si="39"/>
        <v>14422108.931211874</v>
      </c>
      <c r="K71" s="57">
        <f t="shared" si="39"/>
        <v>14939414.774650019</v>
      </c>
      <c r="L71" s="57">
        <f t="shared" si="39"/>
        <v>15486557.110876132</v>
      </c>
      <c r="M71" s="57">
        <f t="shared" si="39"/>
        <v>16066632.715898398</v>
      </c>
      <c r="N71" s="57">
        <f t="shared" si="39"/>
        <v>16683102.724799097</v>
      </c>
      <c r="O71" s="57">
        <f t="shared" si="39"/>
        <v>17339836.246012773</v>
      </c>
      <c r="P71" s="57">
        <f t="shared" si="39"/>
        <v>18041159.207685657</v>
      </c>
      <c r="Q71" s="57">
        <f t="shared" si="39"/>
        <v>18791909.063941557</v>
      </c>
      <c r="R71" s="57">
        <f t="shared" si="39"/>
        <v>19597496.064218167</v>
      </c>
      <c r="S71" s="57">
        <f t="shared" si="39"/>
        <v>20463971.873217024</v>
      </c>
      <c r="T71" s="57">
        <f t="shared" si="39"/>
        <v>21398106.423515134</v>
      </c>
      <c r="U71" s="58">
        <f t="shared" si="39"/>
        <v>6212323.111704831</v>
      </c>
    </row>
    <row r="72" spans="2:21" x14ac:dyDescent="0.25">
      <c r="B72" s="59">
        <f>C65</f>
        <v>0.12</v>
      </c>
      <c r="C72" s="24"/>
      <c r="D72" s="24"/>
      <c r="E72" s="71">
        <f>IRR(F72:U72)</f>
        <v>0.10801162953177879</v>
      </c>
      <c r="F72" s="57">
        <f>IF(F66="","",-F68+F70)</f>
        <v>-12600000</v>
      </c>
      <c r="G72" s="57">
        <f t="shared" ref="G72:U72" si="40">IF(G66="","",-G68+G69+G70)</f>
        <v>1089081.0639216006</v>
      </c>
      <c r="H72" s="57">
        <f t="shared" si="40"/>
        <v>1119457.2798804247</v>
      </c>
      <c r="I72" s="57">
        <f t="shared" si="40"/>
        <v>1150289.1390786308</v>
      </c>
      <c r="J72" s="57">
        <f t="shared" si="40"/>
        <v>1181583.4761648099</v>
      </c>
      <c r="K72" s="57">
        <f t="shared" si="40"/>
        <v>1213347.2283072816</v>
      </c>
      <c r="L72" s="57">
        <f t="shared" si="40"/>
        <v>1245587.4367318908</v>
      </c>
      <c r="M72" s="57">
        <f t="shared" si="40"/>
        <v>1278311.2482828689</v>
      </c>
      <c r="N72" s="57">
        <f t="shared" si="40"/>
        <v>1311525.9170071117</v>
      </c>
      <c r="O72" s="57">
        <f t="shared" si="40"/>
        <v>1345238.8057622178</v>
      </c>
      <c r="P72" s="57">
        <f t="shared" si="40"/>
        <v>1379457.387848651</v>
      </c>
      <c r="Q72" s="57">
        <f t="shared" si="40"/>
        <v>1414189.2486663808</v>
      </c>
      <c r="R72" s="57">
        <f t="shared" si="40"/>
        <v>1449442.0873963761</v>
      </c>
      <c r="S72" s="57">
        <f t="shared" si="40"/>
        <v>1485223.7187073217</v>
      </c>
      <c r="T72" s="57">
        <f t="shared" si="40"/>
        <v>1521542.0744879311</v>
      </c>
      <c r="U72" s="58">
        <f t="shared" si="40"/>
        <v>17753556.082632121</v>
      </c>
    </row>
    <row r="73" spans="2:21" x14ac:dyDescent="0.25">
      <c r="B73" s="60" t="s">
        <v>6</v>
      </c>
      <c r="C73" s="61" t="s">
        <v>6</v>
      </c>
      <c r="D73" s="61" t="s">
        <v>6</v>
      </c>
      <c r="E73" s="61" t="s">
        <v>6</v>
      </c>
      <c r="F73" s="4" t="str">
        <f t="shared" ref="F73:U73" si="41">IF(F66="","",".")</f>
        <v>.</v>
      </c>
      <c r="G73" s="4" t="str">
        <f t="shared" si="41"/>
        <v>.</v>
      </c>
      <c r="H73" s="4" t="str">
        <f t="shared" si="41"/>
        <v>.</v>
      </c>
      <c r="I73" s="4" t="str">
        <f t="shared" si="41"/>
        <v>.</v>
      </c>
      <c r="J73" s="4" t="str">
        <f t="shared" si="41"/>
        <v>.</v>
      </c>
      <c r="K73" s="4" t="str">
        <f t="shared" si="41"/>
        <v>.</v>
      </c>
      <c r="L73" s="4" t="str">
        <f t="shared" si="41"/>
        <v>.</v>
      </c>
      <c r="M73" s="4" t="str">
        <f t="shared" si="41"/>
        <v>.</v>
      </c>
      <c r="N73" s="4" t="str">
        <f t="shared" si="41"/>
        <v>.</v>
      </c>
      <c r="O73" s="4" t="str">
        <f t="shared" si="41"/>
        <v>.</v>
      </c>
      <c r="P73" s="4" t="str">
        <f t="shared" si="41"/>
        <v>.</v>
      </c>
      <c r="Q73" s="4" t="str">
        <f t="shared" si="41"/>
        <v>.</v>
      </c>
      <c r="R73" s="4" t="str">
        <f t="shared" si="41"/>
        <v>.</v>
      </c>
      <c r="S73" s="4" t="str">
        <f t="shared" si="41"/>
        <v>.</v>
      </c>
      <c r="T73" s="4" t="str">
        <f t="shared" si="41"/>
        <v>.</v>
      </c>
      <c r="U73" s="62" t="str">
        <f t="shared" si="41"/>
        <v>.</v>
      </c>
    </row>
    <row r="74" spans="2:21" x14ac:dyDescent="0.25">
      <c r="B74" s="23" t="s">
        <v>2</v>
      </c>
      <c r="C74" s="24"/>
      <c r="D74" s="24"/>
      <c r="E74" s="24"/>
      <c r="F74" s="57">
        <f t="shared" ref="F74:U74" si="42">IF(F66="","",F70)</f>
        <v>0</v>
      </c>
      <c r="G74" s="57">
        <f t="shared" si="42"/>
        <v>0</v>
      </c>
      <c r="H74" s="57">
        <f t="shared" si="42"/>
        <v>0</v>
      </c>
      <c r="I74" s="57">
        <f t="shared" si="42"/>
        <v>0</v>
      </c>
      <c r="J74" s="57">
        <f t="shared" si="42"/>
        <v>0</v>
      </c>
      <c r="K74" s="57">
        <f t="shared" si="42"/>
        <v>0</v>
      </c>
      <c r="L74" s="57">
        <f t="shared" si="42"/>
        <v>0</v>
      </c>
      <c r="M74" s="57">
        <f t="shared" si="42"/>
        <v>0</v>
      </c>
      <c r="N74" s="57">
        <f t="shared" si="42"/>
        <v>0</v>
      </c>
      <c r="O74" s="57">
        <f t="shared" si="42"/>
        <v>0</v>
      </c>
      <c r="P74" s="57">
        <f t="shared" si="42"/>
        <v>0</v>
      </c>
      <c r="Q74" s="57">
        <f t="shared" si="42"/>
        <v>0</v>
      </c>
      <c r="R74" s="57">
        <f t="shared" si="42"/>
        <v>0</v>
      </c>
      <c r="S74" s="57">
        <f t="shared" si="42"/>
        <v>0</v>
      </c>
      <c r="T74" s="57">
        <f t="shared" si="42"/>
        <v>0</v>
      </c>
      <c r="U74" s="58">
        <f t="shared" si="42"/>
        <v>3557426.7648411645</v>
      </c>
    </row>
    <row r="75" spans="2:21" x14ac:dyDescent="0.25">
      <c r="B75" s="23" t="s">
        <v>1</v>
      </c>
      <c r="C75" s="24"/>
      <c r="D75" s="24"/>
      <c r="E75" s="24"/>
      <c r="F75" s="57">
        <f t="shared" ref="F75:U75" si="43">IF(F66="","",F74/VLOOKUP($B64,Promote_Structure,8,FALSE)*VLOOKUP($B64,Promote_Structure,7,FALSE))</f>
        <v>0</v>
      </c>
      <c r="G75" s="57">
        <f t="shared" si="43"/>
        <v>0</v>
      </c>
      <c r="H75" s="57">
        <f t="shared" si="43"/>
        <v>0</v>
      </c>
      <c r="I75" s="57">
        <f t="shared" si="43"/>
        <v>0</v>
      </c>
      <c r="J75" s="57">
        <f t="shared" si="43"/>
        <v>0</v>
      </c>
      <c r="K75" s="57">
        <f t="shared" si="43"/>
        <v>0</v>
      </c>
      <c r="L75" s="57">
        <f t="shared" si="43"/>
        <v>0</v>
      </c>
      <c r="M75" s="57">
        <f t="shared" si="43"/>
        <v>0</v>
      </c>
      <c r="N75" s="57">
        <f t="shared" si="43"/>
        <v>0</v>
      </c>
      <c r="O75" s="57">
        <f t="shared" si="43"/>
        <v>0</v>
      </c>
      <c r="P75" s="57">
        <f t="shared" si="43"/>
        <v>0</v>
      </c>
      <c r="Q75" s="57">
        <f t="shared" si="43"/>
        <v>0</v>
      </c>
      <c r="R75" s="57">
        <f t="shared" si="43"/>
        <v>0</v>
      </c>
      <c r="S75" s="57">
        <f t="shared" si="43"/>
        <v>0</v>
      </c>
      <c r="T75" s="57">
        <f t="shared" si="43"/>
        <v>0</v>
      </c>
      <c r="U75" s="58">
        <f t="shared" si="43"/>
        <v>1712835.1089975974</v>
      </c>
    </row>
    <row r="76" spans="2:21" x14ac:dyDescent="0.25">
      <c r="B76" s="23" t="str">
        <f>"Total Distributions ("&amp;B64&amp;")"</f>
        <v>Total Distributions (Hurdle 3)</v>
      </c>
      <c r="C76" s="24"/>
      <c r="D76" s="24"/>
      <c r="E76" s="24"/>
      <c r="F76" s="57">
        <f t="shared" ref="F76:U76" si="44">IF(F66="","",F74+F75)</f>
        <v>0</v>
      </c>
      <c r="G76" s="57">
        <f t="shared" si="44"/>
        <v>0</v>
      </c>
      <c r="H76" s="57">
        <f t="shared" si="44"/>
        <v>0</v>
      </c>
      <c r="I76" s="57">
        <f t="shared" si="44"/>
        <v>0</v>
      </c>
      <c r="J76" s="57">
        <f t="shared" si="44"/>
        <v>0</v>
      </c>
      <c r="K76" s="57">
        <f t="shared" si="44"/>
        <v>0</v>
      </c>
      <c r="L76" s="57">
        <f t="shared" si="44"/>
        <v>0</v>
      </c>
      <c r="M76" s="57">
        <f t="shared" si="44"/>
        <v>0</v>
      </c>
      <c r="N76" s="57">
        <f t="shared" si="44"/>
        <v>0</v>
      </c>
      <c r="O76" s="57">
        <f t="shared" si="44"/>
        <v>0</v>
      </c>
      <c r="P76" s="57">
        <f t="shared" si="44"/>
        <v>0</v>
      </c>
      <c r="Q76" s="57">
        <f t="shared" si="44"/>
        <v>0</v>
      </c>
      <c r="R76" s="57">
        <f t="shared" si="44"/>
        <v>0</v>
      </c>
      <c r="S76" s="57">
        <f t="shared" si="44"/>
        <v>0</v>
      </c>
      <c r="T76" s="57">
        <f t="shared" si="44"/>
        <v>0</v>
      </c>
      <c r="U76" s="58">
        <f t="shared" si="44"/>
        <v>5270261.8738387618</v>
      </c>
    </row>
    <row r="77" spans="2:21" x14ac:dyDescent="0.25">
      <c r="B77" s="23" t="s">
        <v>0</v>
      </c>
      <c r="C77" s="24"/>
      <c r="D77" s="24"/>
      <c r="E77" s="24"/>
      <c r="F77" s="57">
        <f t="shared" ref="F77:U77" si="45">IF(F66="","",MAX(F$32-F46-F61-F76,0))</f>
        <v>0</v>
      </c>
      <c r="G77" s="57">
        <f t="shared" si="45"/>
        <v>0</v>
      </c>
      <c r="H77" s="57">
        <f t="shared" si="45"/>
        <v>0</v>
      </c>
      <c r="I77" s="57">
        <f t="shared" si="45"/>
        <v>0</v>
      </c>
      <c r="J77" s="57">
        <f t="shared" si="45"/>
        <v>0</v>
      </c>
      <c r="K77" s="57">
        <f t="shared" si="45"/>
        <v>0</v>
      </c>
      <c r="L77" s="57">
        <f t="shared" si="45"/>
        <v>0</v>
      </c>
      <c r="M77" s="57">
        <f t="shared" si="45"/>
        <v>0</v>
      </c>
      <c r="N77" s="57">
        <f t="shared" si="45"/>
        <v>0</v>
      </c>
      <c r="O77" s="57">
        <f t="shared" si="45"/>
        <v>0</v>
      </c>
      <c r="P77" s="57">
        <f t="shared" si="45"/>
        <v>0</v>
      </c>
      <c r="Q77" s="57">
        <f t="shared" si="45"/>
        <v>0</v>
      </c>
      <c r="R77" s="57">
        <f t="shared" si="45"/>
        <v>0</v>
      </c>
      <c r="S77" s="57">
        <f t="shared" si="45"/>
        <v>0</v>
      </c>
      <c r="T77" s="57">
        <f t="shared" si="45"/>
        <v>0</v>
      </c>
      <c r="U77" s="58">
        <f t="shared" si="45"/>
        <v>0</v>
      </c>
    </row>
    <row r="78" spans="2:21" x14ac:dyDescent="0.25">
      <c r="B78" s="23"/>
      <c r="C78" s="24"/>
      <c r="D78" s="24"/>
      <c r="E78" s="24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6"/>
    </row>
    <row r="79" spans="2:21" ht="15.75" x14ac:dyDescent="0.25">
      <c r="B79" s="54" t="s">
        <v>5</v>
      </c>
      <c r="C79" s="24"/>
      <c r="D79" s="24"/>
      <c r="E79" s="24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6"/>
    </row>
    <row r="80" spans="2:21" x14ac:dyDescent="0.25">
      <c r="B80" s="55" t="s">
        <v>4</v>
      </c>
      <c r="C80" s="17" t="s">
        <v>3</v>
      </c>
      <c r="D80" s="12"/>
      <c r="E80" s="12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2"/>
      <c r="R80" s="12"/>
      <c r="S80" s="12"/>
      <c r="T80" s="12"/>
      <c r="U80" s="56"/>
    </row>
    <row r="81" spans="2:21" x14ac:dyDescent="0.25">
      <c r="B81" s="23" t="s">
        <v>2</v>
      </c>
      <c r="C81" s="24"/>
      <c r="D81" s="24"/>
      <c r="E81" s="24"/>
      <c r="F81" s="57">
        <f t="shared" ref="F81:U81" si="46">IF(F66="","",F77*$I$13)</f>
        <v>0</v>
      </c>
      <c r="G81" s="57">
        <f t="shared" si="46"/>
        <v>0</v>
      </c>
      <c r="H81" s="57">
        <f t="shared" si="46"/>
        <v>0</v>
      </c>
      <c r="I81" s="57">
        <f t="shared" si="46"/>
        <v>0</v>
      </c>
      <c r="J81" s="57">
        <f t="shared" si="46"/>
        <v>0</v>
      </c>
      <c r="K81" s="57">
        <f t="shared" si="46"/>
        <v>0</v>
      </c>
      <c r="L81" s="57">
        <f t="shared" si="46"/>
        <v>0</v>
      </c>
      <c r="M81" s="57">
        <f t="shared" si="46"/>
        <v>0</v>
      </c>
      <c r="N81" s="57">
        <f t="shared" si="46"/>
        <v>0</v>
      </c>
      <c r="O81" s="57">
        <f t="shared" si="46"/>
        <v>0</v>
      </c>
      <c r="P81" s="57">
        <f t="shared" si="46"/>
        <v>0</v>
      </c>
      <c r="Q81" s="57">
        <f t="shared" si="46"/>
        <v>0</v>
      </c>
      <c r="R81" s="57">
        <f t="shared" si="46"/>
        <v>0</v>
      </c>
      <c r="S81" s="57">
        <f t="shared" si="46"/>
        <v>0</v>
      </c>
      <c r="T81" s="57">
        <f t="shared" si="46"/>
        <v>0</v>
      </c>
      <c r="U81" s="58">
        <f t="shared" si="46"/>
        <v>0</v>
      </c>
    </row>
    <row r="82" spans="2:21" x14ac:dyDescent="0.25">
      <c r="B82" s="23" t="s">
        <v>1</v>
      </c>
      <c r="C82" s="24"/>
      <c r="D82" s="24"/>
      <c r="E82" s="24"/>
      <c r="F82" s="57">
        <f t="shared" ref="F82:U82" si="47">IF(F81="","",F77-F81)</f>
        <v>0</v>
      </c>
      <c r="G82" s="57">
        <f t="shared" si="47"/>
        <v>0</v>
      </c>
      <c r="H82" s="57">
        <f t="shared" si="47"/>
        <v>0</v>
      </c>
      <c r="I82" s="57">
        <f t="shared" si="47"/>
        <v>0</v>
      </c>
      <c r="J82" s="57">
        <f t="shared" si="47"/>
        <v>0</v>
      </c>
      <c r="K82" s="57">
        <f t="shared" si="47"/>
        <v>0</v>
      </c>
      <c r="L82" s="57">
        <f t="shared" si="47"/>
        <v>0</v>
      </c>
      <c r="M82" s="57">
        <f t="shared" si="47"/>
        <v>0</v>
      </c>
      <c r="N82" s="57">
        <f t="shared" si="47"/>
        <v>0</v>
      </c>
      <c r="O82" s="57">
        <f t="shared" si="47"/>
        <v>0</v>
      </c>
      <c r="P82" s="57">
        <f t="shared" si="47"/>
        <v>0</v>
      </c>
      <c r="Q82" s="57">
        <f t="shared" si="47"/>
        <v>0</v>
      </c>
      <c r="R82" s="57">
        <f t="shared" si="47"/>
        <v>0</v>
      </c>
      <c r="S82" s="57">
        <f t="shared" si="47"/>
        <v>0</v>
      </c>
      <c r="T82" s="57">
        <f t="shared" si="47"/>
        <v>0</v>
      </c>
      <c r="U82" s="58">
        <f t="shared" si="47"/>
        <v>0</v>
      </c>
    </row>
    <row r="83" spans="2:21" x14ac:dyDescent="0.25">
      <c r="B83" s="23" t="str">
        <f>"Total Distributions ("&amp;B79&amp;")"</f>
        <v>Total Distributions (Hurdle 4)</v>
      </c>
      <c r="C83" s="24"/>
      <c r="D83" s="24"/>
      <c r="E83" s="24"/>
      <c r="F83" s="57">
        <f t="shared" ref="F83:U83" si="48">IF(F81="","",F81+F82)</f>
        <v>0</v>
      </c>
      <c r="G83" s="57">
        <f t="shared" si="48"/>
        <v>0</v>
      </c>
      <c r="H83" s="57">
        <f t="shared" si="48"/>
        <v>0</v>
      </c>
      <c r="I83" s="57">
        <f t="shared" si="48"/>
        <v>0</v>
      </c>
      <c r="J83" s="57">
        <f t="shared" si="48"/>
        <v>0</v>
      </c>
      <c r="K83" s="57">
        <f t="shared" si="48"/>
        <v>0</v>
      </c>
      <c r="L83" s="57">
        <f t="shared" si="48"/>
        <v>0</v>
      </c>
      <c r="M83" s="57">
        <f t="shared" si="48"/>
        <v>0</v>
      </c>
      <c r="N83" s="57">
        <f t="shared" si="48"/>
        <v>0</v>
      </c>
      <c r="O83" s="57">
        <f t="shared" si="48"/>
        <v>0</v>
      </c>
      <c r="P83" s="57">
        <f t="shared" si="48"/>
        <v>0</v>
      </c>
      <c r="Q83" s="57">
        <f t="shared" si="48"/>
        <v>0</v>
      </c>
      <c r="R83" s="57">
        <f t="shared" si="48"/>
        <v>0</v>
      </c>
      <c r="S83" s="57">
        <f t="shared" si="48"/>
        <v>0</v>
      </c>
      <c r="T83" s="57">
        <f t="shared" si="48"/>
        <v>0</v>
      </c>
      <c r="U83" s="58">
        <f t="shared" si="48"/>
        <v>0</v>
      </c>
    </row>
    <row r="84" spans="2:21" ht="15.75" thickBot="1" x14ac:dyDescent="0.3">
      <c r="B84" s="63" t="s">
        <v>0</v>
      </c>
      <c r="C84" s="64"/>
      <c r="D84" s="64"/>
      <c r="E84" s="64"/>
      <c r="F84" s="65">
        <f t="shared" ref="F84:U84" si="49">IF(F81="","",F77-F83)</f>
        <v>0</v>
      </c>
      <c r="G84" s="65">
        <f t="shared" si="49"/>
        <v>0</v>
      </c>
      <c r="H84" s="65">
        <f t="shared" si="49"/>
        <v>0</v>
      </c>
      <c r="I84" s="65">
        <f t="shared" si="49"/>
        <v>0</v>
      </c>
      <c r="J84" s="65">
        <f t="shared" si="49"/>
        <v>0</v>
      </c>
      <c r="K84" s="65">
        <f t="shared" si="49"/>
        <v>0</v>
      </c>
      <c r="L84" s="65">
        <f t="shared" si="49"/>
        <v>0</v>
      </c>
      <c r="M84" s="65">
        <f t="shared" si="49"/>
        <v>0</v>
      </c>
      <c r="N84" s="65">
        <f t="shared" si="49"/>
        <v>0</v>
      </c>
      <c r="O84" s="65">
        <f t="shared" si="49"/>
        <v>0</v>
      </c>
      <c r="P84" s="65">
        <f t="shared" si="49"/>
        <v>0</v>
      </c>
      <c r="Q84" s="65">
        <f t="shared" si="49"/>
        <v>0</v>
      </c>
      <c r="R84" s="65">
        <f t="shared" si="49"/>
        <v>0</v>
      </c>
      <c r="S84" s="65">
        <f t="shared" si="49"/>
        <v>0</v>
      </c>
      <c r="T84" s="65">
        <f t="shared" si="49"/>
        <v>0</v>
      </c>
      <c r="U84" s="66">
        <f t="shared" si="49"/>
        <v>0</v>
      </c>
    </row>
    <row r="85" spans="2:21" ht="15.75" thickTop="1" x14ac:dyDescent="0.25"/>
  </sheetData>
  <sheetProtection selectLockedCells="1"/>
  <conditionalFormatting sqref="M3">
    <cfRule type="expression" dxfId="0" priority="1">
      <formula>$M$3="OK"</formula>
    </cfRule>
  </conditionalFormatting>
  <pageMargins left="0.7" right="0.7" top="0.75" bottom="0.75" header="0.3" footer="0.3"/>
  <pageSetup scale="35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9"/>
  <sheetViews>
    <sheetView tabSelected="1" workbookViewId="0">
      <selection activeCell="B6" sqref="B6"/>
    </sheetView>
  </sheetViews>
  <sheetFormatPr defaultRowHeight="15" x14ac:dyDescent="0.25"/>
  <cols>
    <col min="2" max="2" width="17.42578125" bestFit="1" customWidth="1"/>
    <col min="3" max="3" width="12.85546875" customWidth="1"/>
    <col min="4" max="4" width="12.5703125" bestFit="1" customWidth="1"/>
    <col min="5" max="18" width="10.85546875" bestFit="1" customWidth="1"/>
    <col min="19" max="19" width="12.5703125" bestFit="1" customWidth="1"/>
  </cols>
  <sheetData>
    <row r="1" spans="2:19" x14ac:dyDescent="0.25">
      <c r="G1" s="82" t="s">
        <v>62</v>
      </c>
      <c r="H1" s="85" t="s">
        <v>59</v>
      </c>
      <c r="I1" s="85"/>
      <c r="J1" s="85"/>
      <c r="K1" s="85"/>
      <c r="L1" s="85"/>
    </row>
    <row r="2" spans="2:19" x14ac:dyDescent="0.25">
      <c r="G2" s="84">
        <f>'Return from Investors'!$D$20</f>
        <v>0.10801162953177879</v>
      </c>
      <c r="H2" s="83">
        <v>5.5E-2</v>
      </c>
      <c r="I2" s="83">
        <v>5.7500000000000002E-2</v>
      </c>
      <c r="J2" s="83">
        <v>0.06</v>
      </c>
      <c r="K2" s="83">
        <v>6.25E-2</v>
      </c>
      <c r="L2" s="83">
        <v>6.5000000000000002E-2</v>
      </c>
    </row>
    <row r="3" spans="2:19" x14ac:dyDescent="0.25">
      <c r="B3" t="s">
        <v>50</v>
      </c>
      <c r="C3" s="78">
        <v>40000000</v>
      </c>
      <c r="D3" s="72"/>
      <c r="F3" s="86" t="s">
        <v>63</v>
      </c>
      <c r="G3" s="79">
        <v>-5.0000000000000001E-3</v>
      </c>
      <c r="H3" s="84">
        <f t="dataTable" ref="H3:L7" dt2D="1" dtr="1" r1="C7" r2="C8"/>
        <v>7.6972076339101747E-2</v>
      </c>
      <c r="I3" s="84">
        <v>7.207741361798603E-2</v>
      </c>
      <c r="J3" s="84">
        <v>6.7226169523672885E-2</v>
      </c>
      <c r="K3" s="84">
        <v>6.2398150147224829E-2</v>
      </c>
      <c r="L3" s="84">
        <v>5.7573061244718948E-2</v>
      </c>
    </row>
    <row r="4" spans="2:19" x14ac:dyDescent="0.25">
      <c r="B4" t="s">
        <v>51</v>
      </c>
      <c r="C4" s="73">
        <f>D4*C3</f>
        <v>26000000</v>
      </c>
      <c r="D4" s="77">
        <v>0.65</v>
      </c>
      <c r="E4" t="s">
        <v>57</v>
      </c>
      <c r="F4" s="86"/>
      <c r="G4" s="79">
        <v>5.0000000000000001E-3</v>
      </c>
      <c r="H4" s="84">
        <v>9.779453584977138E-2</v>
      </c>
      <c r="I4" s="84">
        <v>9.4009505799192539E-2</v>
      </c>
      <c r="J4" s="84">
        <v>9.0332338836077275E-2</v>
      </c>
      <c r="K4" s="84">
        <v>8.675076096834089E-2</v>
      </c>
      <c r="L4" s="84">
        <v>8.3253755096443838E-2</v>
      </c>
    </row>
    <row r="5" spans="2:19" x14ac:dyDescent="0.25">
      <c r="B5" t="s">
        <v>52</v>
      </c>
      <c r="C5" s="73">
        <f>C3-C4</f>
        <v>14000000</v>
      </c>
      <c r="F5" s="86"/>
      <c r="G5" s="79">
        <v>1.4999999999999999E-2</v>
      </c>
      <c r="H5" s="84">
        <v>0.11375369431280968</v>
      </c>
      <c r="I5" s="84">
        <v>0.11082087964446363</v>
      </c>
      <c r="J5" s="84">
        <v>0.10801162953177879</v>
      </c>
      <c r="K5" s="84">
        <v>0.10531504480061549</v>
      </c>
      <c r="L5" s="84">
        <v>0.10272154662806865</v>
      </c>
    </row>
    <row r="6" spans="2:19" x14ac:dyDescent="0.25">
      <c r="C6" s="73"/>
      <c r="F6" s="86"/>
      <c r="G6" s="79">
        <v>2.5000000000000001E-2</v>
      </c>
      <c r="H6" s="84">
        <v>0.12586806628594571</v>
      </c>
      <c r="I6" s="84">
        <v>0.12394323037170341</v>
      </c>
      <c r="J6" s="84">
        <v>0.12212798152766058</v>
      </c>
      <c r="K6" s="84">
        <v>0.12041237661393756</v>
      </c>
      <c r="L6" s="84">
        <v>0.11817298419023547</v>
      </c>
    </row>
    <row r="7" spans="2:19" x14ac:dyDescent="0.25">
      <c r="B7" s="75" t="s">
        <v>59</v>
      </c>
      <c r="C7" s="79">
        <v>0.06</v>
      </c>
      <c r="F7" s="86"/>
      <c r="G7" s="79">
        <v>3.5000000000000003E-2</v>
      </c>
      <c r="H7" s="84">
        <v>0.13611275148866797</v>
      </c>
      <c r="I7" s="84">
        <v>0.13414997709704024</v>
      </c>
      <c r="J7" s="84">
        <v>0.1322980128831317</v>
      </c>
      <c r="K7" s="84">
        <v>0.13054683446205506</v>
      </c>
      <c r="L7" s="84">
        <v>0.12888766201595558</v>
      </c>
    </row>
    <row r="8" spans="2:19" x14ac:dyDescent="0.25">
      <c r="B8" s="75" t="s">
        <v>61</v>
      </c>
      <c r="C8" s="79">
        <v>1.4999999999999999E-2</v>
      </c>
      <c r="F8" s="79"/>
    </row>
    <row r="9" spans="2:19" x14ac:dyDescent="0.25">
      <c r="C9" s="73"/>
    </row>
    <row r="11" spans="2:19" x14ac:dyDescent="0.25">
      <c r="D11" s="76">
        <v>0</v>
      </c>
      <c r="E11" s="76">
        <v>1</v>
      </c>
      <c r="F11" s="76">
        <f>E11+1</f>
        <v>2</v>
      </c>
      <c r="G11" s="76">
        <f t="shared" ref="G11:S11" si="0">F11+1</f>
        <v>3</v>
      </c>
      <c r="H11" s="76">
        <f t="shared" si="0"/>
        <v>4</v>
      </c>
      <c r="I11" s="76">
        <f t="shared" si="0"/>
        <v>5</v>
      </c>
      <c r="J11" s="76">
        <f t="shared" si="0"/>
        <v>6</v>
      </c>
      <c r="K11" s="76">
        <f t="shared" si="0"/>
        <v>7</v>
      </c>
      <c r="L11" s="76">
        <f t="shared" si="0"/>
        <v>8</v>
      </c>
      <c r="M11" s="76">
        <f t="shared" si="0"/>
        <v>9</v>
      </c>
      <c r="N11" s="76">
        <f t="shared" si="0"/>
        <v>10</v>
      </c>
      <c r="O11" s="76">
        <f t="shared" si="0"/>
        <v>11</v>
      </c>
      <c r="P11" s="76">
        <f t="shared" si="0"/>
        <v>12</v>
      </c>
      <c r="Q11" s="76">
        <f t="shared" si="0"/>
        <v>13</v>
      </c>
      <c r="R11" s="76">
        <f t="shared" si="0"/>
        <v>14</v>
      </c>
      <c r="S11" s="76">
        <f t="shared" si="0"/>
        <v>15</v>
      </c>
    </row>
    <row r="12" spans="2:19" x14ac:dyDescent="0.25">
      <c r="C12" s="75" t="s">
        <v>58</v>
      </c>
      <c r="D12" s="75"/>
      <c r="E12" s="73">
        <v>2250090.0710240006</v>
      </c>
      <c r="F12" s="73">
        <f>E12*(1+$C$8)</f>
        <v>2283841.4220893607</v>
      </c>
      <c r="G12" s="73">
        <f t="shared" ref="G12:S12" si="1">F12*(1+$C$8)</f>
        <v>2318099.0434207008</v>
      </c>
      <c r="H12" s="73">
        <f t="shared" si="1"/>
        <v>2352870.5290720109</v>
      </c>
      <c r="I12" s="73">
        <f t="shared" si="1"/>
        <v>2388163.5870080907</v>
      </c>
      <c r="J12" s="73">
        <f t="shared" si="1"/>
        <v>2423986.0408132118</v>
      </c>
      <c r="K12" s="73">
        <f t="shared" si="1"/>
        <v>2460345.8314254098</v>
      </c>
      <c r="L12" s="73">
        <f t="shared" si="1"/>
        <v>2497251.0188967907</v>
      </c>
      <c r="M12" s="73">
        <f t="shared" si="1"/>
        <v>2534709.7841802421</v>
      </c>
      <c r="N12" s="73">
        <f t="shared" si="1"/>
        <v>2572730.4309429456</v>
      </c>
      <c r="O12" s="73">
        <f t="shared" si="1"/>
        <v>2611321.3874070896</v>
      </c>
      <c r="P12" s="73">
        <f t="shared" si="1"/>
        <v>2650491.2082181955</v>
      </c>
      <c r="Q12" s="73">
        <f t="shared" si="1"/>
        <v>2690248.5763414684</v>
      </c>
      <c r="R12" s="73">
        <f t="shared" si="1"/>
        <v>2730602.3049865901</v>
      </c>
      <c r="S12" s="73">
        <f t="shared" si="1"/>
        <v>2771561.3395613888</v>
      </c>
    </row>
    <row r="13" spans="2:19" x14ac:dyDescent="0.25">
      <c r="C13" s="75" t="s">
        <v>53</v>
      </c>
      <c r="D13" s="75"/>
      <c r="E13" s="73">
        <f>E12-($C$4*0.04)</f>
        <v>1210090.0710240006</v>
      </c>
      <c r="F13" s="73">
        <f t="shared" ref="F13:S13" si="2">F12-($C$4*0.04)</f>
        <v>1243841.4220893607</v>
      </c>
      <c r="G13" s="73">
        <f t="shared" si="2"/>
        <v>1278099.0434207008</v>
      </c>
      <c r="H13" s="73">
        <f t="shared" si="2"/>
        <v>1312870.5290720109</v>
      </c>
      <c r="I13" s="73">
        <f t="shared" si="2"/>
        <v>1348163.5870080907</v>
      </c>
      <c r="J13" s="73">
        <f t="shared" si="2"/>
        <v>1383986.0408132118</v>
      </c>
      <c r="K13" s="73">
        <f t="shared" si="2"/>
        <v>1420345.8314254098</v>
      </c>
      <c r="L13" s="73">
        <f t="shared" si="2"/>
        <v>1457251.0188967907</v>
      </c>
      <c r="M13" s="73">
        <f t="shared" si="2"/>
        <v>1494709.7841802421</v>
      </c>
      <c r="N13" s="73">
        <f t="shared" si="2"/>
        <v>1532730.4309429456</v>
      </c>
      <c r="O13" s="73">
        <f t="shared" si="2"/>
        <v>1571321.3874070896</v>
      </c>
      <c r="P13" s="73">
        <f t="shared" si="2"/>
        <v>1610491.2082181955</v>
      </c>
      <c r="Q13" s="73">
        <f t="shared" si="2"/>
        <v>1650248.5763414684</v>
      </c>
      <c r="R13" s="73">
        <f t="shared" si="2"/>
        <v>1690602.3049865901</v>
      </c>
      <c r="S13" s="73">
        <f t="shared" si="2"/>
        <v>1731561.3395613888</v>
      </c>
    </row>
    <row r="14" spans="2:19" x14ac:dyDescent="0.25">
      <c r="C14" s="75"/>
      <c r="D14" s="75"/>
    </row>
    <row r="15" spans="2:19" x14ac:dyDescent="0.25">
      <c r="C15" s="75" t="s">
        <v>54</v>
      </c>
      <c r="D15" s="75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>
        <f t="shared" ref="S15" si="3">S12/$C$7</f>
        <v>46192688.992689818</v>
      </c>
    </row>
    <row r="16" spans="2:19" x14ac:dyDescent="0.25">
      <c r="C16" s="75" t="s">
        <v>55</v>
      </c>
      <c r="D16" s="75"/>
      <c r="S16" s="73">
        <f>-$C$4</f>
        <v>-26000000</v>
      </c>
    </row>
    <row r="17" spans="3:19" x14ac:dyDescent="0.25">
      <c r="C17" s="75" t="s">
        <v>56</v>
      </c>
      <c r="D17" s="75"/>
      <c r="S17" s="73">
        <f>SUM(S15:S16)</f>
        <v>20192688.992689818</v>
      </c>
    </row>
    <row r="19" spans="3:19" x14ac:dyDescent="0.25">
      <c r="C19" s="75" t="s">
        <v>60</v>
      </c>
      <c r="D19" s="81">
        <f>-C5</f>
        <v>-14000000</v>
      </c>
      <c r="E19" s="73">
        <f>E17+E13</f>
        <v>1210090.0710240006</v>
      </c>
      <c r="F19" s="73">
        <f t="shared" ref="F19:S19" si="4">F17+F13</f>
        <v>1243841.4220893607</v>
      </c>
      <c r="G19" s="73">
        <f t="shared" si="4"/>
        <v>1278099.0434207008</v>
      </c>
      <c r="H19" s="73">
        <f t="shared" si="4"/>
        <v>1312870.5290720109</v>
      </c>
      <c r="I19" s="73">
        <f t="shared" si="4"/>
        <v>1348163.5870080907</v>
      </c>
      <c r="J19" s="73">
        <f t="shared" si="4"/>
        <v>1383986.0408132118</v>
      </c>
      <c r="K19" s="73">
        <f t="shared" si="4"/>
        <v>1420345.8314254098</v>
      </c>
      <c r="L19" s="73">
        <f t="shared" si="4"/>
        <v>1457251.0188967907</v>
      </c>
      <c r="M19" s="73">
        <f t="shared" si="4"/>
        <v>1494709.7841802421</v>
      </c>
      <c r="N19" s="73">
        <f t="shared" si="4"/>
        <v>1532730.4309429456</v>
      </c>
      <c r="O19" s="73">
        <f t="shared" si="4"/>
        <v>1571321.3874070896</v>
      </c>
      <c r="P19" s="73">
        <f t="shared" si="4"/>
        <v>1610491.2082181955</v>
      </c>
      <c r="Q19" s="73">
        <f t="shared" si="4"/>
        <v>1650248.5763414684</v>
      </c>
      <c r="R19" s="73">
        <f>R17+R13</f>
        <v>1690602.3049865901</v>
      </c>
      <c r="S19" s="73">
        <f t="shared" si="4"/>
        <v>21924250.332251206</v>
      </c>
    </row>
  </sheetData>
  <mergeCells count="2">
    <mergeCell ref="F3:F7"/>
    <mergeCell ref="H1:L1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Return from Investors</vt:lpstr>
      <vt:lpstr>Scenario Analysis</vt:lpstr>
      <vt:lpstr>Equity_Share_LP</vt:lpstr>
      <vt:lpstr>Equity_Share_Sponsor</vt:lpstr>
      <vt:lpstr>Preferred_Return</vt:lpstr>
      <vt:lpstr>Promote_Structure</vt:lpstr>
      <vt:lpstr>Total_Equity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burton;Spencer Burton</dc:creator>
  <cp:lastModifiedBy>burton</cp:lastModifiedBy>
  <dcterms:created xsi:type="dcterms:W3CDTF">2015-07-19T18:58:00Z</dcterms:created>
  <dcterms:modified xsi:type="dcterms:W3CDTF">2015-10-10T16:21:49Z</dcterms:modified>
</cp:coreProperties>
</file>