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and Group FTP\Dropbox\CRE Financial Models\Portfolio\"/>
    </mc:Choice>
  </mc:AlternateContent>
  <bookViews>
    <workbookView xWindow="0" yWindow="0" windowWidth="28800" windowHeight="13020" tabRatio="874" activeTab="1"/>
  </bookViews>
  <sheets>
    <sheet name="Portfolio Summary" sheetId="9" r:id="rId1"/>
    <sheet name="Property Assumptions" sheetId="1" r:id="rId2"/>
    <sheet name="Cash Flow" sheetId="2" r:id="rId3"/>
    <sheet name="Investor Level Returns" sheetId="10" r:id="rId4"/>
    <sheet name="Portfolio Level Returns" sheetId="3" r:id="rId5"/>
    <sheet name="Property Level Returns" sheetId="8" r:id="rId6"/>
    <sheet name="Debt" sheetId="6" r:id="rId7"/>
    <sheet name="Insert ARGUS ---&gt;" sheetId="5" r:id="rId8"/>
    <sheet name="Raw Data" sheetId="11" r:id="rId9"/>
  </sheets>
  <externalReferences>
    <externalReference r:id="rId10"/>
  </externalReferences>
  <definedNames>
    <definedName name="Analysis_Period">'Portfolio Summary'!$D$6</definedName>
    <definedName name="Analysis_Start">'Portfolio Summary'!$D$5</definedName>
    <definedName name="Basis">'Portfolio Summary'!$H$8</definedName>
    <definedName name="Cap_Year">'Portfolio Summary'!$D$7</definedName>
    <definedName name="CashFlow_Table" localSheetId="6">Debt!$C$4:$R$98</definedName>
    <definedName name="CashFlow_Table">'Cash Flow'!$C$4:$R$129</definedName>
    <definedName name="CF_Table2">'Cash Flow'!$B$4:$R$129</definedName>
    <definedName name="Debt">'Portfolio Summary'!$H$18</definedName>
    <definedName name="Debt_Table2">Debt!$B$4:$R$98</definedName>
    <definedName name="Discount_Rate">'Portfolio Summary'!$D$10</definedName>
    <definedName name="Equity">'Portfolio Summary'!$H$19</definedName>
    <definedName name="Equity_Share_LP">'Investor Level Returns'!$C$6</definedName>
    <definedName name="Equity_Share_Sponsor">'Investor Level Returns'!$C$5</definedName>
    <definedName name="Exit_Cap_Yr_1">'Portfolio Summary'!$D$9</definedName>
    <definedName name="Name">'Portfolio Summary'!$D$3</definedName>
    <definedName name="Number_Properties">'Portfolio Summary'!$H$13</definedName>
    <definedName name="P_List_Table">'Property Assumptions'!$B$4:$W$34</definedName>
    <definedName name="P_List_Table_2">'Property Assumptions'!$C$5:$W$34</definedName>
    <definedName name="Portfolio_SF">'Portfolio Summary'!$H$3</definedName>
    <definedName name="Preferred_Return">'Investor Level Returns'!$E$9</definedName>
    <definedName name="Promote_On_Off">'[1]Rollup - Investor Level Returns'!$F$344:$F$345</definedName>
    <definedName name="Promote_Structure">'Investor Level Returns'!$B$8:$I$12</definedName>
    <definedName name="Property">'Property Level Returns'!$E$2</definedName>
    <definedName name="Property_List">OFFSET('Property Assumptions'!$C$5,0,0,COUNTA('Property Assumptions'!$C:$C)-1,1)</definedName>
    <definedName name="Property_Number_List">'Property Assumptions'!$B$5:$B$34</definedName>
    <definedName name="Purchase_Price">'Portfolio Summary'!$D$16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7" i="2" l="1"/>
  <c r="R16" i="2"/>
  <c r="R15" i="2"/>
  <c r="E15" i="2"/>
  <c r="D15" i="2"/>
  <c r="V26" i="10"/>
  <c r="H14" i="10"/>
  <c r="I14" i="10" s="1"/>
  <c r="J14" i="10" s="1"/>
  <c r="K14" i="10" s="1"/>
  <c r="L14" i="10" s="1"/>
  <c r="M14" i="10" s="1"/>
  <c r="N14" i="10" s="1"/>
  <c r="O14" i="10" s="1"/>
  <c r="P14" i="10" s="1"/>
  <c r="Q14" i="10" s="1"/>
  <c r="B82" i="10"/>
  <c r="B75" i="10"/>
  <c r="B69" i="10"/>
  <c r="B60" i="10"/>
  <c r="B45" i="10"/>
  <c r="B54" i="10"/>
  <c r="F50" i="10"/>
  <c r="E11" i="10"/>
  <c r="C64" i="10" s="1"/>
  <c r="B71" i="10" s="1"/>
  <c r="G12" i="10"/>
  <c r="F36" i="10"/>
  <c r="F42" i="10" s="1"/>
  <c r="H29" i="10"/>
  <c r="I29" i="10" s="1"/>
  <c r="J29" i="10" s="1"/>
  <c r="K29" i="10" s="1"/>
  <c r="L29" i="10" s="1"/>
  <c r="M29" i="10" s="1"/>
  <c r="N29" i="10" s="1"/>
  <c r="O29" i="10" s="1"/>
  <c r="P29" i="10" s="1"/>
  <c r="Q29" i="10" s="1"/>
  <c r="R29" i="10" s="1"/>
  <c r="S29" i="10" s="1"/>
  <c r="T29" i="10" s="1"/>
  <c r="U29" i="10" s="1"/>
  <c r="V29" i="10" s="1"/>
  <c r="F30" i="10"/>
  <c r="B31" i="10"/>
  <c r="D4" i="3"/>
  <c r="E3" i="3"/>
  <c r="E4" i="3" s="1"/>
  <c r="E12" i="2"/>
  <c r="E13" i="2" s="1"/>
  <c r="E17" i="2" s="1"/>
  <c r="D12" i="2"/>
  <c r="D16" i="2" s="1"/>
  <c r="E11" i="2"/>
  <c r="F11" i="2" s="1"/>
  <c r="G30" i="10"/>
  <c r="G10" i="10"/>
  <c r="G11" i="10"/>
  <c r="G9" i="10"/>
  <c r="E10" i="10"/>
  <c r="C49" i="10" s="1"/>
  <c r="E9" i="10"/>
  <c r="C6" i="10"/>
  <c r="R14" i="10" l="1"/>
  <c r="Q19" i="10"/>
  <c r="Q24" i="10"/>
  <c r="Q23" i="10"/>
  <c r="Q16" i="10"/>
  <c r="Q26" i="10"/>
  <c r="G11" i="2"/>
  <c r="F15" i="2"/>
  <c r="F12" i="2"/>
  <c r="D13" i="2"/>
  <c r="D17" i="2" s="1"/>
  <c r="E16" i="2"/>
  <c r="I12" i="10"/>
  <c r="H12" i="10" s="1"/>
  <c r="B56" i="10"/>
  <c r="F51" i="10"/>
  <c r="R50" i="10"/>
  <c r="S50" i="10"/>
  <c r="T50" i="10"/>
  <c r="Q50" i="10"/>
  <c r="U50" i="10"/>
  <c r="F57" i="10"/>
  <c r="I11" i="10"/>
  <c r="H11" i="10" s="1"/>
  <c r="I9" i="10"/>
  <c r="H9" i="10" s="1"/>
  <c r="I10" i="10"/>
  <c r="R36" i="10"/>
  <c r="R38" i="10" s="1"/>
  <c r="R17" i="10" s="1"/>
  <c r="S36" i="10"/>
  <c r="Q36" i="10"/>
  <c r="U36" i="10"/>
  <c r="T36" i="10"/>
  <c r="T38" i="10" s="1"/>
  <c r="T17" i="10" s="1"/>
  <c r="C35" i="10"/>
  <c r="B41" i="10" s="1"/>
  <c r="F37" i="10"/>
  <c r="F3" i="3"/>
  <c r="I30" i="10"/>
  <c r="H30" i="10"/>
  <c r="E3" i="2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S14" i="10" l="1"/>
  <c r="R24" i="10"/>
  <c r="R23" i="10"/>
  <c r="R16" i="10"/>
  <c r="R26" i="10"/>
  <c r="R19" i="10"/>
  <c r="F13" i="2"/>
  <c r="F17" i="2" s="1"/>
  <c r="F16" i="2"/>
  <c r="H11" i="2"/>
  <c r="G15" i="2"/>
  <c r="G12" i="2"/>
  <c r="U61" i="10"/>
  <c r="U58" i="10"/>
  <c r="R61" i="10"/>
  <c r="R58" i="10"/>
  <c r="Q61" i="10"/>
  <c r="Q58" i="10"/>
  <c r="T61" i="10"/>
  <c r="T58" i="10"/>
  <c r="S61" i="10"/>
  <c r="S58" i="10"/>
  <c r="U52" i="10"/>
  <c r="R52" i="10"/>
  <c r="Q52" i="10"/>
  <c r="T52" i="10"/>
  <c r="S52" i="10"/>
  <c r="Q37" i="10"/>
  <c r="Q38" i="10"/>
  <c r="Q17" i="10" s="1"/>
  <c r="S41" i="10"/>
  <c r="S38" i="10"/>
  <c r="S17" i="10" s="1"/>
  <c r="U37" i="10"/>
  <c r="U38" i="10"/>
  <c r="U17" i="10" s="1"/>
  <c r="T59" i="10"/>
  <c r="T60" i="10"/>
  <c r="S60" i="10"/>
  <c r="S59" i="10"/>
  <c r="Q59" i="10"/>
  <c r="Q60" i="10"/>
  <c r="U59" i="10"/>
  <c r="U60" i="10"/>
  <c r="R60" i="10"/>
  <c r="R59" i="10"/>
  <c r="H10" i="10"/>
  <c r="S56" i="10"/>
  <c r="S54" i="10"/>
  <c r="U56" i="10"/>
  <c r="U54" i="10"/>
  <c r="R56" i="10"/>
  <c r="R54" i="10"/>
  <c r="Q56" i="10"/>
  <c r="Q54" i="10"/>
  <c r="T56" i="10"/>
  <c r="T54" i="10"/>
  <c r="T57" i="10"/>
  <c r="U55" i="10"/>
  <c r="Q55" i="10"/>
  <c r="T55" i="10"/>
  <c r="R55" i="10"/>
  <c r="S55" i="10"/>
  <c r="T51" i="10"/>
  <c r="Q57" i="10"/>
  <c r="Q51" i="10"/>
  <c r="S51" i="10"/>
  <c r="U51" i="10"/>
  <c r="R51" i="10"/>
  <c r="R57" i="10"/>
  <c r="S57" i="10"/>
  <c r="U57" i="10"/>
  <c r="S40" i="10"/>
  <c r="S37" i="10"/>
  <c r="T42" i="10"/>
  <c r="T46" i="10"/>
  <c r="R42" i="10"/>
  <c r="R46" i="10"/>
  <c r="U42" i="10"/>
  <c r="U46" i="10"/>
  <c r="Q42" i="10"/>
  <c r="Q46" i="10"/>
  <c r="S42" i="10"/>
  <c r="S46" i="10"/>
  <c r="T45" i="10"/>
  <c r="T44" i="10"/>
  <c r="T65" i="10" s="1"/>
  <c r="T80" i="10" s="1"/>
  <c r="U45" i="10"/>
  <c r="U44" i="10"/>
  <c r="U65" i="10" s="1"/>
  <c r="U80" i="10" s="1"/>
  <c r="Q45" i="10"/>
  <c r="Q44" i="10"/>
  <c r="Q65" i="10" s="1"/>
  <c r="Q80" i="10" s="1"/>
  <c r="U39" i="10"/>
  <c r="U43" i="10" s="1"/>
  <c r="U53" i="10" s="1"/>
  <c r="S39" i="10"/>
  <c r="S43" i="10" s="1"/>
  <c r="S53" i="10" s="1"/>
  <c r="S45" i="10"/>
  <c r="S44" i="10"/>
  <c r="S65" i="10" s="1"/>
  <c r="S80" i="10" s="1"/>
  <c r="R40" i="10"/>
  <c r="R45" i="10"/>
  <c r="R44" i="10"/>
  <c r="R65" i="10" s="1"/>
  <c r="R80" i="10" s="1"/>
  <c r="T40" i="10"/>
  <c r="T37" i="10"/>
  <c r="T41" i="10"/>
  <c r="U40" i="10"/>
  <c r="U41" i="10"/>
  <c r="R37" i="10"/>
  <c r="T39" i="10"/>
  <c r="T43" i="10" s="1"/>
  <c r="T53" i="10" s="1"/>
  <c r="R39" i="10"/>
  <c r="R43" i="10" s="1"/>
  <c r="R53" i="10" s="1"/>
  <c r="Q40" i="10"/>
  <c r="Q41" i="10"/>
  <c r="Q39" i="10"/>
  <c r="Q43" i="10" s="1"/>
  <c r="Q53" i="10" s="1"/>
  <c r="R41" i="10"/>
  <c r="G3" i="3"/>
  <c r="F4" i="3"/>
  <c r="J30" i="10"/>
  <c r="D16" i="9"/>
  <c r="T14" i="10" l="1"/>
  <c r="S23" i="10"/>
  <c r="S16" i="10"/>
  <c r="S26" i="10"/>
  <c r="S19" i="10"/>
  <c r="S24" i="10"/>
  <c r="I11" i="2"/>
  <c r="H15" i="2"/>
  <c r="H12" i="2"/>
  <c r="G16" i="2"/>
  <c r="G13" i="2"/>
  <c r="G17" i="2" s="1"/>
  <c r="T83" i="10"/>
  <c r="T82" i="10"/>
  <c r="T81" i="10"/>
  <c r="S83" i="10"/>
  <c r="S82" i="10"/>
  <c r="S81" i="10"/>
  <c r="R83" i="10"/>
  <c r="R82" i="10"/>
  <c r="R81" i="10"/>
  <c r="Q83" i="10"/>
  <c r="Q82" i="10"/>
  <c r="Q81" i="10"/>
  <c r="U83" i="10"/>
  <c r="U82" i="10"/>
  <c r="U81" i="10"/>
  <c r="U76" i="10"/>
  <c r="U68" i="10"/>
  <c r="U69" i="10"/>
  <c r="U73" i="10"/>
  <c r="U70" i="10"/>
  <c r="U67" i="10"/>
  <c r="U66" i="10"/>
  <c r="U72" i="10"/>
  <c r="U74" i="10"/>
  <c r="U71" i="10"/>
  <c r="U75" i="10"/>
  <c r="R74" i="10"/>
  <c r="R76" i="10"/>
  <c r="R68" i="10"/>
  <c r="R71" i="10"/>
  <c r="R72" i="10"/>
  <c r="R69" i="10"/>
  <c r="R73" i="10"/>
  <c r="R70" i="10"/>
  <c r="R66" i="10"/>
  <c r="R75" i="10"/>
  <c r="R67" i="10"/>
  <c r="S73" i="10"/>
  <c r="S76" i="10"/>
  <c r="S72" i="10"/>
  <c r="S68" i="10"/>
  <c r="S67" i="10"/>
  <c r="S70" i="10"/>
  <c r="S74" i="10"/>
  <c r="S75" i="10"/>
  <c r="S71" i="10"/>
  <c r="S66" i="10"/>
  <c r="S69" i="10"/>
  <c r="Q76" i="10"/>
  <c r="Q68" i="10"/>
  <c r="Q66" i="10"/>
  <c r="Q70" i="10"/>
  <c r="Q69" i="10"/>
  <c r="Q67" i="10"/>
  <c r="Q71" i="10"/>
  <c r="Q73" i="10"/>
  <c r="Q75" i="10"/>
  <c r="Q72" i="10"/>
  <c r="Q74" i="10"/>
  <c r="T70" i="10"/>
  <c r="T76" i="10"/>
  <c r="T67" i="10"/>
  <c r="T73" i="10"/>
  <c r="T69" i="10"/>
  <c r="T68" i="10"/>
  <c r="T74" i="10"/>
  <c r="T75" i="10"/>
  <c r="T66" i="10"/>
  <c r="T71" i="10"/>
  <c r="T72" i="10"/>
  <c r="H3" i="3"/>
  <c r="G4" i="3"/>
  <c r="K30" i="10"/>
  <c r="T5" i="1"/>
  <c r="B72" i="8"/>
  <c r="B71" i="8"/>
  <c r="B70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R24" i="8"/>
  <c r="P24" i="8"/>
  <c r="Q24" i="8"/>
  <c r="H6" i="9"/>
  <c r="H3" i="9"/>
  <c r="H4" i="9" s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U14" i="10" l="1"/>
  <c r="T26" i="10"/>
  <c r="T19" i="10"/>
  <c r="T24" i="10"/>
  <c r="T23" i="10"/>
  <c r="T16" i="10"/>
  <c r="H16" i="2"/>
  <c r="H13" i="2"/>
  <c r="H17" i="2" s="1"/>
  <c r="J11" i="2"/>
  <c r="I15" i="2"/>
  <c r="I12" i="2"/>
  <c r="I3" i="3"/>
  <c r="H4" i="3"/>
  <c r="L30" i="10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V14" i="10" l="1"/>
  <c r="U19" i="10"/>
  <c r="U24" i="10"/>
  <c r="U23" i="10"/>
  <c r="U16" i="10"/>
  <c r="U26" i="10"/>
  <c r="K11" i="2"/>
  <c r="J15" i="2"/>
  <c r="J12" i="2"/>
  <c r="I13" i="2"/>
  <c r="I17" i="2" s="1"/>
  <c r="I16" i="2"/>
  <c r="J3" i="3"/>
  <c r="I4" i="3"/>
  <c r="M30" i="10"/>
  <c r="C28" i="8"/>
  <c r="C25" i="8"/>
  <c r="C9" i="8"/>
  <c r="C7" i="8"/>
  <c r="C5" i="8"/>
  <c r="B99" i="8"/>
  <c r="B79" i="8"/>
  <c r="O24" i="8"/>
  <c r="D11" i="8"/>
  <c r="D4" i="8"/>
  <c r="E3" i="8"/>
  <c r="B69" i="3"/>
  <c r="V16" i="10" l="1"/>
  <c r="V19" i="10"/>
  <c r="J16" i="2"/>
  <c r="J13" i="2"/>
  <c r="J17" i="2" s="1"/>
  <c r="L11" i="2"/>
  <c r="K15" i="2"/>
  <c r="K12" i="2"/>
  <c r="K3" i="3"/>
  <c r="J4" i="3"/>
  <c r="N30" i="10"/>
  <c r="E4" i="8"/>
  <c r="B80" i="8"/>
  <c r="B81" i="8" s="1"/>
  <c r="B100" i="8"/>
  <c r="B101" i="8" s="1"/>
  <c r="F3" i="8"/>
  <c r="B70" i="3"/>
  <c r="B49" i="3"/>
  <c r="B50" i="3" s="1"/>
  <c r="B51" i="3" s="1"/>
  <c r="E3" i="6"/>
  <c r="F3" i="6" s="1"/>
  <c r="G3" i="6" s="1"/>
  <c r="H3" i="6" s="1"/>
  <c r="I3" i="6" s="1"/>
  <c r="J3" i="6" s="1"/>
  <c r="K3" i="6" s="1"/>
  <c r="L3" i="6" s="1"/>
  <c r="M3" i="6" s="1"/>
  <c r="N3" i="6" s="1"/>
  <c r="O3" i="6" s="1"/>
  <c r="P3" i="6" s="1"/>
  <c r="Q3" i="6" s="1"/>
  <c r="R3" i="6" s="1"/>
  <c r="S3" i="6" s="1"/>
  <c r="T3" i="6" s="1"/>
  <c r="D14" i="2"/>
  <c r="E14" i="2"/>
  <c r="F14" i="2"/>
  <c r="G14" i="2"/>
  <c r="H14" i="2"/>
  <c r="I14" i="2"/>
  <c r="J14" i="2"/>
  <c r="R14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D74" i="2"/>
  <c r="E74" i="2"/>
  <c r="F74" i="2"/>
  <c r="G74" i="2"/>
  <c r="H74" i="2"/>
  <c r="I74" i="2"/>
  <c r="J74" i="2"/>
  <c r="K74" i="2"/>
  <c r="L74" i="2"/>
  <c r="M74" i="2"/>
  <c r="N74" i="2"/>
  <c r="O74" i="2"/>
  <c r="P74" i="2"/>
  <c r="Q74" i="2"/>
  <c r="R74" i="2"/>
  <c r="D78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D86" i="2"/>
  <c r="E86" i="2"/>
  <c r="F86" i="2"/>
  <c r="G86" i="2"/>
  <c r="H86" i="2"/>
  <c r="I86" i="2"/>
  <c r="J86" i="2"/>
  <c r="K86" i="2"/>
  <c r="L86" i="2"/>
  <c r="M86" i="2"/>
  <c r="N86" i="2"/>
  <c r="O86" i="2"/>
  <c r="P86" i="2"/>
  <c r="Q86" i="2"/>
  <c r="R86" i="2"/>
  <c r="D90" i="2"/>
  <c r="E90" i="2"/>
  <c r="F90" i="2"/>
  <c r="G90" i="2"/>
  <c r="H90" i="2"/>
  <c r="I90" i="2"/>
  <c r="J90" i="2"/>
  <c r="K90" i="2"/>
  <c r="L90" i="2"/>
  <c r="M90" i="2"/>
  <c r="N90" i="2"/>
  <c r="O90" i="2"/>
  <c r="P90" i="2"/>
  <c r="Q90" i="2"/>
  <c r="R90" i="2"/>
  <c r="D94" i="2"/>
  <c r="E94" i="2"/>
  <c r="F94" i="2"/>
  <c r="G94" i="2"/>
  <c r="H94" i="2"/>
  <c r="I94" i="2"/>
  <c r="J94" i="2"/>
  <c r="K94" i="2"/>
  <c r="L94" i="2"/>
  <c r="M94" i="2"/>
  <c r="N94" i="2"/>
  <c r="O94" i="2"/>
  <c r="P94" i="2"/>
  <c r="Q94" i="2"/>
  <c r="R94" i="2"/>
  <c r="D98" i="2"/>
  <c r="E98" i="2"/>
  <c r="F98" i="2"/>
  <c r="G98" i="2"/>
  <c r="H98" i="2"/>
  <c r="I98" i="2"/>
  <c r="J98" i="2"/>
  <c r="K98" i="2"/>
  <c r="L98" i="2"/>
  <c r="M98" i="2"/>
  <c r="N98" i="2"/>
  <c r="O98" i="2"/>
  <c r="P98" i="2"/>
  <c r="Q98" i="2"/>
  <c r="R98" i="2"/>
  <c r="D102" i="2"/>
  <c r="E102" i="2"/>
  <c r="F102" i="2"/>
  <c r="G102" i="2"/>
  <c r="H102" i="2"/>
  <c r="I102" i="2"/>
  <c r="J102" i="2"/>
  <c r="K102" i="2"/>
  <c r="L102" i="2"/>
  <c r="M102" i="2"/>
  <c r="N102" i="2"/>
  <c r="O102" i="2"/>
  <c r="P102" i="2"/>
  <c r="Q102" i="2"/>
  <c r="R102" i="2"/>
  <c r="D106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D110" i="2"/>
  <c r="E110" i="2"/>
  <c r="F110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D114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Q114" i="2"/>
  <c r="R114" i="2"/>
  <c r="D118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D122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Q122" i="2"/>
  <c r="R122" i="2"/>
  <c r="D126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R126" i="2"/>
  <c r="D4" i="6"/>
  <c r="K13" i="2" l="1"/>
  <c r="K17" i="2" s="1"/>
  <c r="K16" i="2"/>
  <c r="K14" i="2" s="1"/>
  <c r="M11" i="2"/>
  <c r="L15" i="2"/>
  <c r="L12" i="2"/>
  <c r="L3" i="3"/>
  <c r="K4" i="3"/>
  <c r="O30" i="10"/>
  <c r="B82" i="8"/>
  <c r="B102" i="8"/>
  <c r="F4" i="8"/>
  <c r="G3" i="8"/>
  <c r="B52" i="3"/>
  <c r="B71" i="3"/>
  <c r="E4" i="6"/>
  <c r="D11" i="3"/>
  <c r="R25" i="3"/>
  <c r="Q25" i="3"/>
  <c r="P25" i="3"/>
  <c r="O25" i="3"/>
  <c r="R10" i="2"/>
  <c r="L10" i="2"/>
  <c r="K10" i="2"/>
  <c r="J10" i="2"/>
  <c r="I10" i="2"/>
  <c r="H10" i="2"/>
  <c r="G10" i="2"/>
  <c r="F10" i="2"/>
  <c r="E10" i="2"/>
  <c r="D10" i="2"/>
  <c r="D4" i="2"/>
  <c r="N11" i="2" l="1"/>
  <c r="M15" i="2"/>
  <c r="M12" i="2"/>
  <c r="L16" i="2"/>
  <c r="L14" i="2" s="1"/>
  <c r="L13" i="2"/>
  <c r="L17" i="2" s="1"/>
  <c r="M3" i="3"/>
  <c r="L4" i="3"/>
  <c r="P30" i="10"/>
  <c r="D18" i="9"/>
  <c r="G4" i="8"/>
  <c r="H3" i="8"/>
  <c r="B103" i="8"/>
  <c r="B83" i="8"/>
  <c r="B53" i="3"/>
  <c r="B72" i="3"/>
  <c r="F4" i="6"/>
  <c r="F4" i="2"/>
  <c r="E4" i="2"/>
  <c r="M13" i="2" l="1"/>
  <c r="M17" i="2" s="1"/>
  <c r="M16" i="2"/>
  <c r="M14" i="2" s="1"/>
  <c r="M10" i="2"/>
  <c r="N15" i="2"/>
  <c r="N12" i="2"/>
  <c r="O11" i="2"/>
  <c r="M4" i="3"/>
  <c r="N3" i="3"/>
  <c r="Q30" i="10"/>
  <c r="B84" i="8"/>
  <c r="B104" i="8"/>
  <c r="I3" i="8"/>
  <c r="H4" i="8"/>
  <c r="B54" i="3"/>
  <c r="B73" i="3"/>
  <c r="G4" i="6"/>
  <c r="G4" i="2"/>
  <c r="O12" i="2" l="1"/>
  <c r="O15" i="2"/>
  <c r="P11" i="2"/>
  <c r="N16" i="2"/>
  <c r="N14" i="2" s="1"/>
  <c r="N13" i="2"/>
  <c r="N17" i="2" s="1"/>
  <c r="N10" i="2"/>
  <c r="O3" i="3"/>
  <c r="N4" i="3"/>
  <c r="R30" i="10"/>
  <c r="I4" i="8"/>
  <c r="J3" i="8"/>
  <c r="B105" i="8"/>
  <c r="B85" i="8"/>
  <c r="B55" i="3"/>
  <c r="B74" i="3"/>
  <c r="H4" i="6"/>
  <c r="H4" i="2"/>
  <c r="P12" i="2" l="1"/>
  <c r="Q11" i="2"/>
  <c r="P15" i="2"/>
  <c r="O13" i="2"/>
  <c r="O17" i="2" s="1"/>
  <c r="O16" i="2"/>
  <c r="O14" i="2" s="1"/>
  <c r="O10" i="2"/>
  <c r="P3" i="3"/>
  <c r="O4" i="3"/>
  <c r="S30" i="10"/>
  <c r="J4" i="8"/>
  <c r="K3" i="8"/>
  <c r="B86" i="8"/>
  <c r="B106" i="8"/>
  <c r="B56" i="3"/>
  <c r="B75" i="3"/>
  <c r="I4" i="6"/>
  <c r="I4" i="2"/>
  <c r="Q12" i="2" l="1"/>
  <c r="Q15" i="2"/>
  <c r="P13" i="2"/>
  <c r="P17" i="2" s="1"/>
  <c r="P16" i="2"/>
  <c r="P14" i="2" s="1"/>
  <c r="P10" i="2"/>
  <c r="Q3" i="3"/>
  <c r="P4" i="3"/>
  <c r="T30" i="10"/>
  <c r="B107" i="8"/>
  <c r="B87" i="8"/>
  <c r="K4" i="8"/>
  <c r="L3" i="8"/>
  <c r="B57" i="3"/>
  <c r="B76" i="3"/>
  <c r="J4" i="6"/>
  <c r="J4" i="2"/>
  <c r="Q13" i="2" l="1"/>
  <c r="Q17" i="2" s="1"/>
  <c r="Q16" i="2"/>
  <c r="Q14" i="2" s="1"/>
  <c r="Q10" i="2"/>
  <c r="Q4" i="3"/>
  <c r="R3" i="3"/>
  <c r="U30" i="10"/>
  <c r="B88" i="8"/>
  <c r="B108" i="8"/>
  <c r="M3" i="8"/>
  <c r="L4" i="8"/>
  <c r="B58" i="3"/>
  <c r="B77" i="3"/>
  <c r="K4" i="6"/>
  <c r="K4" i="2"/>
  <c r="R4" i="3" l="1"/>
  <c r="S3" i="3"/>
  <c r="T3" i="3" s="1"/>
  <c r="M4" i="8"/>
  <c r="N3" i="8"/>
  <c r="B109" i="8"/>
  <c r="B89" i="8"/>
  <c r="B59" i="3"/>
  <c r="B78" i="3"/>
  <c r="L4" i="6"/>
  <c r="L4" i="2"/>
  <c r="B110" i="8" l="1"/>
  <c r="B90" i="8"/>
  <c r="N4" i="8"/>
  <c r="O3" i="8"/>
  <c r="P3" i="8" s="1"/>
  <c r="B60" i="3"/>
  <c r="B79" i="3"/>
  <c r="M4" i="6"/>
  <c r="M4" i="2"/>
  <c r="Q3" i="8" l="1"/>
  <c r="P4" i="8"/>
  <c r="O4" i="8"/>
  <c r="B91" i="8"/>
  <c r="B111" i="8"/>
  <c r="B61" i="3"/>
  <c r="B80" i="3"/>
  <c r="N4" i="6"/>
  <c r="N4" i="2"/>
  <c r="R3" i="8" l="1"/>
  <c r="Q4" i="8"/>
  <c r="B92" i="8"/>
  <c r="B112" i="8"/>
  <c r="B62" i="3"/>
  <c r="B81" i="3"/>
  <c r="O4" i="6"/>
  <c r="O4" i="2"/>
  <c r="S3" i="8" l="1"/>
  <c r="T3" i="8" s="1"/>
  <c r="R4" i="8"/>
  <c r="B113" i="8"/>
  <c r="B93" i="8"/>
  <c r="B63" i="3"/>
  <c r="B82" i="3"/>
  <c r="P4" i="6"/>
  <c r="P4" i="2"/>
  <c r="B83" i="3" l="1"/>
  <c r="Q4" i="6"/>
  <c r="Q4" i="2"/>
  <c r="R4" i="6" l="1"/>
  <c r="R4" i="2"/>
  <c r="I20" i="1" l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5" i="1" l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H10" i="9" l="1"/>
  <c r="H7" i="9"/>
  <c r="H8" i="9" s="1"/>
  <c r="H5" i="9"/>
  <c r="O5" i="1" l="1"/>
  <c r="J5" i="1" s="1"/>
  <c r="N5" i="1" l="1"/>
  <c r="M5" i="1"/>
  <c r="C10" i="2"/>
  <c r="H5" i="1" s="1"/>
  <c r="C9" i="6"/>
  <c r="F10" i="6" l="1"/>
  <c r="J10" i="6"/>
  <c r="J11" i="6" s="1"/>
  <c r="N10" i="6"/>
  <c r="R10" i="6"/>
  <c r="C10" i="6"/>
  <c r="G10" i="6"/>
  <c r="G11" i="6" s="1"/>
  <c r="K10" i="6"/>
  <c r="K11" i="6" s="1"/>
  <c r="O10" i="6"/>
  <c r="F11" i="6"/>
  <c r="D10" i="6"/>
  <c r="H10" i="6"/>
  <c r="H11" i="6" s="1"/>
  <c r="L10" i="6"/>
  <c r="L11" i="6" s="1"/>
  <c r="P10" i="6"/>
  <c r="E10" i="6"/>
  <c r="E11" i="6" s="1"/>
  <c r="I10" i="6"/>
  <c r="I11" i="6" s="1"/>
  <c r="M10" i="6"/>
  <c r="M11" i="6" s="1"/>
  <c r="Q10" i="6"/>
  <c r="D11" i="6"/>
  <c r="C11" i="6"/>
  <c r="B11" i="6" s="1"/>
  <c r="C12" i="2"/>
  <c r="B12" i="2" s="1"/>
  <c r="C11" i="2"/>
  <c r="C13" i="2"/>
  <c r="O11" i="6" l="1"/>
  <c r="R11" i="6"/>
  <c r="N11" i="6"/>
  <c r="Q11" i="6"/>
  <c r="P11" i="6"/>
  <c r="B13" i="2"/>
  <c r="B11" i="2"/>
  <c r="B10" i="6"/>
  <c r="B6" i="1" l="1"/>
  <c r="T6" i="1" s="1"/>
  <c r="O6" i="1"/>
  <c r="B7" i="1"/>
  <c r="O7" i="1"/>
  <c r="O8" i="1"/>
  <c r="H9" i="1"/>
  <c r="O9" i="1"/>
  <c r="H10" i="1"/>
  <c r="O10" i="1"/>
  <c r="H11" i="1"/>
  <c r="O11" i="1"/>
  <c r="H12" i="1"/>
  <c r="O12" i="1"/>
  <c r="H13" i="1"/>
  <c r="O13" i="1"/>
  <c r="H14" i="1"/>
  <c r="O14" i="1"/>
  <c r="H15" i="1"/>
  <c r="O15" i="1"/>
  <c r="H16" i="1"/>
  <c r="O16" i="1"/>
  <c r="H17" i="1"/>
  <c r="O17" i="1"/>
  <c r="H18" i="1"/>
  <c r="O18" i="1"/>
  <c r="H19" i="1"/>
  <c r="O19" i="1"/>
  <c r="J6" i="1" l="1"/>
  <c r="T7" i="1"/>
  <c r="J7" i="1" s="1"/>
  <c r="M7" i="1"/>
  <c r="B8" i="1"/>
  <c r="N7" i="1"/>
  <c r="N6" i="1"/>
  <c r="M6" i="1"/>
  <c r="H16" i="9"/>
  <c r="H26" i="9" s="1"/>
  <c r="H21" i="9" l="1"/>
  <c r="M8" i="1"/>
  <c r="T8" i="1"/>
  <c r="J8" i="1" s="1"/>
  <c r="H22" i="9"/>
  <c r="N8" i="1"/>
  <c r="B9" i="1"/>
  <c r="H24" i="9"/>
  <c r="H17" i="9"/>
  <c r="H18" i="9" s="1"/>
  <c r="H19" i="9" s="1"/>
  <c r="H25" i="9"/>
  <c r="H23" i="9"/>
  <c r="D6" i="10" l="1"/>
  <c r="D5" i="10"/>
  <c r="T9" i="1"/>
  <c r="J9" i="1" s="1"/>
  <c r="M9" i="1"/>
  <c r="B10" i="1"/>
  <c r="N9" i="1"/>
  <c r="T10" i="1" l="1"/>
  <c r="J10" i="1" s="1"/>
  <c r="N10" i="1"/>
  <c r="B11" i="1"/>
  <c r="M10" i="1"/>
  <c r="T11" i="1" l="1"/>
  <c r="J11" i="1"/>
  <c r="M11" i="1"/>
  <c r="B12" i="1"/>
  <c r="N11" i="1"/>
  <c r="T12" i="1" l="1"/>
  <c r="J12" i="1" s="1"/>
  <c r="N12" i="1"/>
  <c r="B13" i="1"/>
  <c r="M12" i="1"/>
  <c r="T13" i="1" l="1"/>
  <c r="J13" i="1" s="1"/>
  <c r="M13" i="1"/>
  <c r="B14" i="1"/>
  <c r="N13" i="1"/>
  <c r="T14" i="1" l="1"/>
  <c r="J14" i="1" s="1"/>
  <c r="N14" i="1"/>
  <c r="B15" i="1"/>
  <c r="M14" i="1"/>
  <c r="T15" i="1" l="1"/>
  <c r="J15" i="1"/>
  <c r="M15" i="1"/>
  <c r="B16" i="1"/>
  <c r="N15" i="1"/>
  <c r="T16" i="1" l="1"/>
  <c r="J16" i="1" s="1"/>
  <c r="N16" i="1"/>
  <c r="B17" i="1"/>
  <c r="M16" i="1"/>
  <c r="T17" i="1" l="1"/>
  <c r="J17" i="1" s="1"/>
  <c r="M17" i="1"/>
  <c r="B18" i="1"/>
  <c r="N17" i="1"/>
  <c r="T18" i="1" l="1"/>
  <c r="J18" i="1" s="1"/>
  <c r="N18" i="1"/>
  <c r="B19" i="1"/>
  <c r="M18" i="1"/>
  <c r="T19" i="1" l="1"/>
  <c r="J19" i="1"/>
  <c r="M19" i="1"/>
  <c r="B20" i="1"/>
  <c r="N19" i="1"/>
  <c r="T20" i="1" l="1"/>
  <c r="J20" i="1" s="1"/>
  <c r="M20" i="1"/>
  <c r="B21" i="1"/>
  <c r="N20" i="1"/>
  <c r="T21" i="1" l="1"/>
  <c r="J21" i="1" s="1"/>
  <c r="M21" i="1"/>
  <c r="B22" i="1"/>
  <c r="N21" i="1"/>
  <c r="T22" i="1" l="1"/>
  <c r="J22" i="1" s="1"/>
  <c r="M22" i="1"/>
  <c r="B23" i="1"/>
  <c r="N22" i="1"/>
  <c r="T23" i="1" l="1"/>
  <c r="J23" i="1"/>
  <c r="M23" i="1"/>
  <c r="B24" i="1"/>
  <c r="N23" i="1"/>
  <c r="T24" i="1" l="1"/>
  <c r="J24" i="1" s="1"/>
  <c r="M24" i="1"/>
  <c r="B25" i="1"/>
  <c r="N24" i="1"/>
  <c r="T25" i="1" l="1"/>
  <c r="J25" i="1" s="1"/>
  <c r="M25" i="1"/>
  <c r="B26" i="1"/>
  <c r="N25" i="1"/>
  <c r="T26" i="1" l="1"/>
  <c r="J26" i="1" s="1"/>
  <c r="M26" i="1"/>
  <c r="B27" i="1"/>
  <c r="N26" i="1"/>
  <c r="T27" i="1" l="1"/>
  <c r="J27" i="1"/>
  <c r="M27" i="1"/>
  <c r="B28" i="1"/>
  <c r="N27" i="1"/>
  <c r="T28" i="1" l="1"/>
  <c r="J28" i="1" s="1"/>
  <c r="M28" i="1"/>
  <c r="B29" i="1"/>
  <c r="N28" i="1"/>
  <c r="T29" i="1" l="1"/>
  <c r="J29" i="1" s="1"/>
  <c r="M29" i="1"/>
  <c r="B30" i="1"/>
  <c r="N29" i="1"/>
  <c r="T30" i="1" l="1"/>
  <c r="J30" i="1" s="1"/>
  <c r="M30" i="1"/>
  <c r="B31" i="1"/>
  <c r="N30" i="1"/>
  <c r="T31" i="1" l="1"/>
  <c r="J31" i="1"/>
  <c r="M31" i="1"/>
  <c r="B32" i="1"/>
  <c r="N31" i="1"/>
  <c r="T32" i="1" l="1"/>
  <c r="J32" i="1" s="1"/>
  <c r="M32" i="1"/>
  <c r="B33" i="1"/>
  <c r="N32" i="1"/>
  <c r="T33" i="1" l="1"/>
  <c r="J33" i="1" s="1"/>
  <c r="M33" i="1"/>
  <c r="B34" i="1"/>
  <c r="N33" i="1"/>
  <c r="T34" i="1" l="1"/>
  <c r="J34" i="1" s="1"/>
  <c r="M34" i="1"/>
  <c r="N34" i="1"/>
  <c r="H13" i="9"/>
  <c r="B14" i="2" l="1"/>
  <c r="B12" i="6"/>
  <c r="B15" i="6" l="1"/>
  <c r="C12" i="6"/>
  <c r="C14" i="2"/>
  <c r="B18" i="2"/>
  <c r="H6" i="1" l="1"/>
  <c r="B22" i="2"/>
  <c r="C18" i="2"/>
  <c r="C15" i="2"/>
  <c r="B15" i="2" s="1"/>
  <c r="C17" i="2"/>
  <c r="B17" i="2" s="1"/>
  <c r="C16" i="2"/>
  <c r="B16" i="2" s="1"/>
  <c r="Q13" i="6"/>
  <c r="Q14" i="6" s="1"/>
  <c r="R13" i="6"/>
  <c r="R14" i="6" s="1"/>
  <c r="C13" i="6"/>
  <c r="B13" i="6" s="1"/>
  <c r="L13" i="6"/>
  <c r="L14" i="6" s="1"/>
  <c r="E13" i="6"/>
  <c r="E14" i="6" s="1"/>
  <c r="K13" i="6"/>
  <c r="K14" i="6" s="1"/>
  <c r="I13" i="6"/>
  <c r="I14" i="6" s="1"/>
  <c r="J13" i="6"/>
  <c r="J14" i="6" s="1"/>
  <c r="D13" i="6"/>
  <c r="D14" i="6" s="1"/>
  <c r="M13" i="6"/>
  <c r="M14" i="6" s="1"/>
  <c r="N13" i="6"/>
  <c r="N14" i="6" s="1"/>
  <c r="O13" i="6"/>
  <c r="O14" i="6" s="1"/>
  <c r="H13" i="6"/>
  <c r="H14" i="6" s="1"/>
  <c r="F13" i="6"/>
  <c r="F14" i="6" s="1"/>
  <c r="G13" i="6"/>
  <c r="G14" i="6" s="1"/>
  <c r="P13" i="6"/>
  <c r="P14" i="6" s="1"/>
  <c r="C14" i="6"/>
  <c r="B14" i="6" s="1"/>
  <c r="B18" i="6"/>
  <c r="C15" i="6"/>
  <c r="H7" i="1" l="1"/>
  <c r="M16" i="6"/>
  <c r="M17" i="6" s="1"/>
  <c r="L16" i="6"/>
  <c r="L17" i="6" s="1"/>
  <c r="K16" i="6"/>
  <c r="K17" i="6" s="1"/>
  <c r="F16" i="6"/>
  <c r="F17" i="6" s="1"/>
  <c r="J16" i="6"/>
  <c r="J17" i="6" s="1"/>
  <c r="E16" i="6"/>
  <c r="E17" i="6" s="1"/>
  <c r="D16" i="6"/>
  <c r="D17" i="6" s="1"/>
  <c r="C17" i="6"/>
  <c r="B17" i="6" s="1"/>
  <c r="G16" i="6"/>
  <c r="G17" i="6" s="1"/>
  <c r="Q16" i="6"/>
  <c r="Q17" i="6" s="1"/>
  <c r="N16" i="6"/>
  <c r="N17" i="6" s="1"/>
  <c r="I16" i="6"/>
  <c r="I17" i="6" s="1"/>
  <c r="H16" i="6"/>
  <c r="H17" i="6" s="1"/>
  <c r="C16" i="6"/>
  <c r="O16" i="6"/>
  <c r="O17" i="6" s="1"/>
  <c r="P16" i="6"/>
  <c r="P17" i="6" s="1"/>
  <c r="R16" i="6"/>
  <c r="R17" i="6" s="1"/>
  <c r="C21" i="2"/>
  <c r="B21" i="2" s="1"/>
  <c r="C20" i="2"/>
  <c r="B20" i="2" s="1"/>
  <c r="C19" i="2"/>
  <c r="B19" i="2" s="1"/>
  <c r="N5" i="8" s="1"/>
  <c r="B21" i="6"/>
  <c r="C18" i="6"/>
  <c r="C22" i="2"/>
  <c r="B26" i="2"/>
  <c r="H8" i="1" l="1"/>
  <c r="O5" i="8"/>
  <c r="Q5" i="8"/>
  <c r="O9" i="8"/>
  <c r="Q9" i="8"/>
  <c r="R5" i="8"/>
  <c r="P9" i="8"/>
  <c r="N9" i="8"/>
  <c r="N15" i="8" s="1"/>
  <c r="R9" i="8"/>
  <c r="P5" i="8"/>
  <c r="N76" i="8"/>
  <c r="B16" i="6"/>
  <c r="C26" i="2"/>
  <c r="B30" i="2"/>
  <c r="C25" i="2"/>
  <c r="B25" i="2" s="1"/>
  <c r="C23" i="2"/>
  <c r="C24" i="2"/>
  <c r="B24" i="2" s="1"/>
  <c r="L19" i="6"/>
  <c r="L20" i="6" s="1"/>
  <c r="P19" i="6"/>
  <c r="P20" i="6" s="1"/>
  <c r="Q19" i="6"/>
  <c r="Q20" i="6" s="1"/>
  <c r="R19" i="6"/>
  <c r="O19" i="6"/>
  <c r="O20" i="6" s="1"/>
  <c r="N19" i="6"/>
  <c r="N20" i="6" s="1"/>
  <c r="D19" i="6"/>
  <c r="D20" i="6" s="1"/>
  <c r="C20" i="6"/>
  <c r="B20" i="6" s="1"/>
  <c r="E19" i="6"/>
  <c r="E20" i="6" s="1"/>
  <c r="F19" i="6"/>
  <c r="F20" i="6" s="1"/>
  <c r="C19" i="6"/>
  <c r="R20" i="6"/>
  <c r="G19" i="6"/>
  <c r="G20" i="6" s="1"/>
  <c r="H19" i="6"/>
  <c r="H20" i="6" s="1"/>
  <c r="I19" i="6"/>
  <c r="I20" i="6" s="1"/>
  <c r="J19" i="6"/>
  <c r="J20" i="6" s="1"/>
  <c r="M19" i="6"/>
  <c r="M20" i="6" s="1"/>
  <c r="K19" i="6"/>
  <c r="K20" i="6" s="1"/>
  <c r="C21" i="6"/>
  <c r="B24" i="6"/>
  <c r="Q25" i="8" l="1"/>
  <c r="Q33" i="8" s="1"/>
  <c r="O28" i="8"/>
  <c r="P25" i="8"/>
  <c r="P33" i="8" s="1"/>
  <c r="R28" i="8"/>
  <c r="P28" i="8"/>
  <c r="R25" i="8"/>
  <c r="R33" i="8" s="1"/>
  <c r="Q28" i="8"/>
  <c r="O25" i="8"/>
  <c r="O33" i="8" s="1"/>
  <c r="R15" i="8"/>
  <c r="O76" i="8"/>
  <c r="P15" i="8"/>
  <c r="R76" i="8"/>
  <c r="Q15" i="8"/>
  <c r="P76" i="8"/>
  <c r="O15" i="8"/>
  <c r="Q76" i="8"/>
  <c r="N96" i="8"/>
  <c r="N113" i="8"/>
  <c r="N112" i="8"/>
  <c r="N93" i="8"/>
  <c r="N91" i="8"/>
  <c r="N90" i="8"/>
  <c r="N110" i="8"/>
  <c r="N92" i="8"/>
  <c r="N111" i="8"/>
  <c r="N28" i="8"/>
  <c r="N25" i="8"/>
  <c r="N33" i="8" s="1"/>
  <c r="B19" i="6"/>
  <c r="H22" i="6"/>
  <c r="H23" i="6" s="1"/>
  <c r="I22" i="6"/>
  <c r="I23" i="6" s="1"/>
  <c r="J22" i="6"/>
  <c r="J23" i="6" s="1"/>
  <c r="G22" i="6"/>
  <c r="G23" i="6" s="1"/>
  <c r="L22" i="6"/>
  <c r="L23" i="6" s="1"/>
  <c r="M22" i="6"/>
  <c r="M23" i="6" s="1"/>
  <c r="N22" i="6"/>
  <c r="K22" i="6"/>
  <c r="K23" i="6" s="1"/>
  <c r="P22" i="6"/>
  <c r="O23" i="6"/>
  <c r="Q22" i="6"/>
  <c r="P23" i="6"/>
  <c r="R22" i="6"/>
  <c r="Q23" i="6"/>
  <c r="O22" i="6"/>
  <c r="N23" i="6"/>
  <c r="D22" i="6"/>
  <c r="D23" i="6" s="1"/>
  <c r="C23" i="6"/>
  <c r="B23" i="6" s="1"/>
  <c r="E22" i="6"/>
  <c r="E23" i="6" s="1"/>
  <c r="F22" i="6"/>
  <c r="F23" i="6" s="1"/>
  <c r="C22" i="6"/>
  <c r="B22" i="6" s="1"/>
  <c r="R23" i="6"/>
  <c r="C29" i="2"/>
  <c r="B29" i="2" s="1"/>
  <c r="C27" i="2"/>
  <c r="B27" i="2" s="1"/>
  <c r="C28" i="2"/>
  <c r="B28" i="2" s="1"/>
  <c r="B27" i="6"/>
  <c r="C24" i="6"/>
  <c r="B23" i="2"/>
  <c r="C30" i="2"/>
  <c r="B34" i="2"/>
  <c r="R96" i="8" l="1"/>
  <c r="R90" i="8"/>
  <c r="R112" i="8"/>
  <c r="R110" i="8"/>
  <c r="R92" i="8"/>
  <c r="R89" i="8"/>
  <c r="R111" i="8"/>
  <c r="R109" i="8"/>
  <c r="R91" i="8"/>
  <c r="O113" i="8"/>
  <c r="O112" i="8"/>
  <c r="O91" i="8"/>
  <c r="O111" i="8"/>
  <c r="O89" i="8"/>
  <c r="O93" i="8"/>
  <c r="O109" i="8"/>
  <c r="O92" i="8"/>
  <c r="O96" i="8"/>
  <c r="P96" i="8"/>
  <c r="P89" i="8"/>
  <c r="P110" i="8"/>
  <c r="P90" i="8"/>
  <c r="P112" i="8"/>
  <c r="P109" i="8"/>
  <c r="P92" i="8"/>
  <c r="P93" i="8"/>
  <c r="P113" i="8"/>
  <c r="Q90" i="8"/>
  <c r="Q113" i="8"/>
  <c r="Q110" i="8"/>
  <c r="Q96" i="8"/>
  <c r="Q109" i="8"/>
  <c r="Q91" i="8"/>
  <c r="Q89" i="8"/>
  <c r="Q111" i="8"/>
  <c r="Q93" i="8"/>
  <c r="C31" i="2"/>
  <c r="B31" i="2" s="1"/>
  <c r="C33" i="2"/>
  <c r="B33" i="2" s="1"/>
  <c r="C32" i="2"/>
  <c r="B32" i="2" s="1"/>
  <c r="H25" i="6"/>
  <c r="H26" i="6" s="1"/>
  <c r="I25" i="6"/>
  <c r="I26" i="6" s="1"/>
  <c r="J25" i="6"/>
  <c r="J26" i="6" s="1"/>
  <c r="G25" i="6"/>
  <c r="G26" i="6" s="1"/>
  <c r="K25" i="6"/>
  <c r="K26" i="6" s="1"/>
  <c r="Q25" i="6"/>
  <c r="L25" i="6"/>
  <c r="L26" i="6" s="1"/>
  <c r="M25" i="6"/>
  <c r="M26" i="6" s="1"/>
  <c r="N25" i="6"/>
  <c r="N26" i="6" s="1"/>
  <c r="P26" i="6"/>
  <c r="O25" i="6"/>
  <c r="P25" i="6"/>
  <c r="O26" i="6"/>
  <c r="R25" i="6"/>
  <c r="D25" i="6"/>
  <c r="D26" i="6" s="1"/>
  <c r="C26" i="6"/>
  <c r="B26" i="6" s="1"/>
  <c r="E25" i="6"/>
  <c r="E26" i="6" s="1"/>
  <c r="F25" i="6"/>
  <c r="F26" i="6" s="1"/>
  <c r="C25" i="6"/>
  <c r="B25" i="6" s="1"/>
  <c r="R26" i="6"/>
  <c r="Q26" i="6"/>
  <c r="C34" i="2"/>
  <c r="B38" i="2"/>
  <c r="C27" i="6"/>
  <c r="B30" i="6"/>
  <c r="P28" i="6" l="1"/>
  <c r="O29" i="6"/>
  <c r="Q28" i="6"/>
  <c r="P29" i="6"/>
  <c r="R28" i="6"/>
  <c r="Q29" i="6"/>
  <c r="O28" i="6"/>
  <c r="N29" i="6"/>
  <c r="D28" i="6"/>
  <c r="D29" i="6" s="1"/>
  <c r="C29" i="6"/>
  <c r="B29" i="6" s="1"/>
  <c r="E28" i="6"/>
  <c r="E29" i="6" s="1"/>
  <c r="F28" i="6"/>
  <c r="F29" i="6" s="1"/>
  <c r="C28" i="6"/>
  <c r="B28" i="6" s="1"/>
  <c r="R29" i="6"/>
  <c r="H28" i="6"/>
  <c r="H29" i="6" s="1"/>
  <c r="I28" i="6"/>
  <c r="I29" i="6" s="1"/>
  <c r="J28" i="6"/>
  <c r="J29" i="6" s="1"/>
  <c r="G28" i="6"/>
  <c r="G29" i="6" s="1"/>
  <c r="L28" i="6"/>
  <c r="L29" i="6" s="1"/>
  <c r="M28" i="6"/>
  <c r="M29" i="6" s="1"/>
  <c r="N28" i="6"/>
  <c r="K28" i="6"/>
  <c r="K29" i="6" s="1"/>
  <c r="B42" i="2"/>
  <c r="C38" i="2"/>
  <c r="C36" i="2"/>
  <c r="B36" i="2" s="1"/>
  <c r="C35" i="2"/>
  <c r="C37" i="2"/>
  <c r="B37" i="2" s="1"/>
  <c r="C30" i="6"/>
  <c r="B33" i="6"/>
  <c r="C33" i="6" l="1"/>
  <c r="B36" i="6"/>
  <c r="D31" i="6"/>
  <c r="D32" i="6" s="1"/>
  <c r="C32" i="6"/>
  <c r="B32" i="6" s="1"/>
  <c r="E31" i="6"/>
  <c r="E32" i="6" s="1"/>
  <c r="F31" i="6"/>
  <c r="F32" i="6" s="1"/>
  <c r="C31" i="6"/>
  <c r="B31" i="6" s="1"/>
  <c r="R32" i="6"/>
  <c r="K31" i="6"/>
  <c r="H31" i="6"/>
  <c r="H32" i="6" s="1"/>
  <c r="I31" i="6"/>
  <c r="J31" i="6"/>
  <c r="J32" i="6" s="1"/>
  <c r="I32" i="6"/>
  <c r="G31" i="6"/>
  <c r="G32" i="6" s="1"/>
  <c r="N31" i="6"/>
  <c r="L31" i="6"/>
  <c r="L32" i="6" s="1"/>
  <c r="K32" i="6"/>
  <c r="M31" i="6"/>
  <c r="M32" i="6" s="1"/>
  <c r="P31" i="6"/>
  <c r="O32" i="6"/>
  <c r="Q31" i="6"/>
  <c r="P32" i="6"/>
  <c r="R31" i="6"/>
  <c r="Q32" i="6"/>
  <c r="O31" i="6"/>
  <c r="N32" i="6"/>
  <c r="C40" i="2"/>
  <c r="B40" i="2" s="1"/>
  <c r="C39" i="2"/>
  <c r="C41" i="2"/>
  <c r="B41" i="2" s="1"/>
  <c r="C42" i="2"/>
  <c r="B46" i="2"/>
  <c r="B35" i="2"/>
  <c r="C44" i="2" l="1"/>
  <c r="B44" i="2" s="1"/>
  <c r="C43" i="2"/>
  <c r="C45" i="2"/>
  <c r="B45" i="2" s="1"/>
  <c r="B39" i="2"/>
  <c r="B39" i="6"/>
  <c r="C36" i="6"/>
  <c r="H34" i="6"/>
  <c r="H35" i="6" s="1"/>
  <c r="I34" i="6"/>
  <c r="I35" i="6" s="1"/>
  <c r="J34" i="6"/>
  <c r="G34" i="6"/>
  <c r="G35" i="6" s="1"/>
  <c r="L34" i="6"/>
  <c r="L35" i="6" s="1"/>
  <c r="M34" i="6"/>
  <c r="M35" i="6" s="1"/>
  <c r="N34" i="6"/>
  <c r="K34" i="6"/>
  <c r="K35" i="6" s="1"/>
  <c r="J35" i="6"/>
  <c r="N35" i="6"/>
  <c r="P34" i="6"/>
  <c r="O35" i="6"/>
  <c r="Q34" i="6"/>
  <c r="P35" i="6"/>
  <c r="R34" i="6"/>
  <c r="Q35" i="6"/>
  <c r="O34" i="6"/>
  <c r="D34" i="6"/>
  <c r="D35" i="6" s="1"/>
  <c r="C35" i="6"/>
  <c r="B35" i="6" s="1"/>
  <c r="E34" i="6"/>
  <c r="E35" i="6" s="1"/>
  <c r="F34" i="6"/>
  <c r="F35" i="6" s="1"/>
  <c r="C34" i="6"/>
  <c r="B34" i="6" s="1"/>
  <c r="R35" i="6"/>
  <c r="C46" i="2"/>
  <c r="B50" i="2"/>
  <c r="C50" i="2" l="1"/>
  <c r="B54" i="2"/>
  <c r="C48" i="2"/>
  <c r="B48" i="2" s="1"/>
  <c r="C47" i="2"/>
  <c r="B47" i="2" s="1"/>
  <c r="C49" i="2"/>
  <c r="B49" i="2" s="1"/>
  <c r="B43" i="2"/>
  <c r="P37" i="6"/>
  <c r="O38" i="6"/>
  <c r="Q37" i="6"/>
  <c r="P38" i="6"/>
  <c r="R37" i="6"/>
  <c r="Q38" i="6"/>
  <c r="O37" i="6"/>
  <c r="N38" i="6"/>
  <c r="R38" i="6"/>
  <c r="J37" i="6"/>
  <c r="J38" i="6" s="1"/>
  <c r="D37" i="6"/>
  <c r="C38" i="6"/>
  <c r="B38" i="6" s="1"/>
  <c r="E37" i="6"/>
  <c r="E38" i="6" s="1"/>
  <c r="D38" i="6"/>
  <c r="F37" i="6"/>
  <c r="F38" i="6" s="1"/>
  <c r="C37" i="6"/>
  <c r="B37" i="6" s="1"/>
  <c r="H37" i="6"/>
  <c r="H38" i="6" s="1"/>
  <c r="I37" i="6"/>
  <c r="I38" i="6" s="1"/>
  <c r="L37" i="6"/>
  <c r="M37" i="6"/>
  <c r="M38" i="6" s="1"/>
  <c r="L38" i="6"/>
  <c r="N37" i="6"/>
  <c r="K37" i="6"/>
  <c r="K38" i="6" s="1"/>
  <c r="G37" i="6"/>
  <c r="G38" i="6" s="1"/>
  <c r="C39" i="6"/>
  <c r="B42" i="6"/>
  <c r="B58" i="2" l="1"/>
  <c r="C54" i="2"/>
  <c r="P40" i="6"/>
  <c r="O41" i="6"/>
  <c r="Q40" i="6"/>
  <c r="P41" i="6"/>
  <c r="G40" i="6"/>
  <c r="G41" i="6" s="1"/>
  <c r="D40" i="6"/>
  <c r="D41" i="6" s="1"/>
  <c r="C41" i="6"/>
  <c r="B41" i="6" s="1"/>
  <c r="E40" i="6"/>
  <c r="F40" i="6"/>
  <c r="F41" i="6" s="1"/>
  <c r="K40" i="6"/>
  <c r="K41" i="6" s="1"/>
  <c r="N41" i="6"/>
  <c r="R40" i="6"/>
  <c r="H40" i="6"/>
  <c r="H41" i="6" s="1"/>
  <c r="I40" i="6"/>
  <c r="I41" i="6" s="1"/>
  <c r="J40" i="6"/>
  <c r="J41" i="6" s="1"/>
  <c r="O40" i="6"/>
  <c r="R41" i="6"/>
  <c r="L40" i="6"/>
  <c r="L41" i="6" s="1"/>
  <c r="M40" i="6"/>
  <c r="M41" i="6" s="1"/>
  <c r="C40" i="6"/>
  <c r="B40" i="6" s="1"/>
  <c r="N40" i="6"/>
  <c r="E41" i="6"/>
  <c r="Q41" i="6"/>
  <c r="C52" i="2"/>
  <c r="B52" i="2" s="1"/>
  <c r="C51" i="2"/>
  <c r="C53" i="2"/>
  <c r="B53" i="2" s="1"/>
  <c r="B45" i="6"/>
  <c r="C42" i="6"/>
  <c r="H43" i="6" l="1"/>
  <c r="H44" i="6" s="1"/>
  <c r="I43" i="6"/>
  <c r="C43" i="6"/>
  <c r="B43" i="6" s="1"/>
  <c r="R44" i="6"/>
  <c r="N43" i="6"/>
  <c r="R43" i="6"/>
  <c r="L43" i="6"/>
  <c r="L44" i="6" s="1"/>
  <c r="M43" i="6"/>
  <c r="M44" i="6" s="1"/>
  <c r="G43" i="6"/>
  <c r="G44" i="6" s="1"/>
  <c r="J43" i="6"/>
  <c r="J44" i="6" s="1"/>
  <c r="I44" i="6"/>
  <c r="P43" i="6"/>
  <c r="O44" i="6"/>
  <c r="Q43" i="6"/>
  <c r="K43" i="6"/>
  <c r="K44" i="6" s="1"/>
  <c r="F43" i="6"/>
  <c r="F44" i="6" s="1"/>
  <c r="D43" i="6"/>
  <c r="C44" i="6"/>
  <c r="B44" i="6" s="1"/>
  <c r="E43" i="6"/>
  <c r="E44" i="6" s="1"/>
  <c r="D44" i="6"/>
  <c r="O43" i="6"/>
  <c r="N44" i="6"/>
  <c r="P44" i="6"/>
  <c r="Q44" i="6"/>
  <c r="C45" i="6"/>
  <c r="B48" i="6"/>
  <c r="C56" i="2"/>
  <c r="B56" i="2" s="1"/>
  <c r="C55" i="2"/>
  <c r="B55" i="2" s="1"/>
  <c r="C57" i="2"/>
  <c r="B57" i="2" s="1"/>
  <c r="B51" i="2"/>
  <c r="C58" i="2"/>
  <c r="B62" i="2"/>
  <c r="C48" i="6" l="1"/>
  <c r="B51" i="6"/>
  <c r="B66" i="2"/>
  <c r="C62" i="2"/>
  <c r="D46" i="6"/>
  <c r="C47" i="6"/>
  <c r="B47" i="6" s="1"/>
  <c r="C46" i="6"/>
  <c r="B46" i="6" s="1"/>
  <c r="R47" i="6"/>
  <c r="P47" i="6"/>
  <c r="M46" i="6"/>
  <c r="M47" i="6" s="1"/>
  <c r="H46" i="6"/>
  <c r="H47" i="6" s="1"/>
  <c r="G46" i="6"/>
  <c r="G47" i="6" s="1"/>
  <c r="E46" i="6"/>
  <c r="F46" i="6"/>
  <c r="F47" i="6" s="1"/>
  <c r="I46" i="6"/>
  <c r="I47" i="6" s="1"/>
  <c r="Q47" i="6"/>
  <c r="Q46" i="6"/>
  <c r="L46" i="6"/>
  <c r="L47" i="6" s="1"/>
  <c r="K46" i="6"/>
  <c r="K47" i="6" s="1"/>
  <c r="N46" i="6"/>
  <c r="P46" i="6"/>
  <c r="O47" i="6"/>
  <c r="O46" i="6"/>
  <c r="N47" i="6"/>
  <c r="D47" i="6"/>
  <c r="E47" i="6"/>
  <c r="R46" i="6"/>
  <c r="J46" i="6"/>
  <c r="J47" i="6" s="1"/>
  <c r="C60" i="2"/>
  <c r="B60" i="2" s="1"/>
  <c r="C59" i="2"/>
  <c r="B59" i="2" s="1"/>
  <c r="C61" i="2"/>
  <c r="B61" i="2" s="1"/>
  <c r="C63" i="2" l="1"/>
  <c r="B63" i="2" s="1"/>
  <c r="C65" i="2"/>
  <c r="B65" i="2" s="1"/>
  <c r="C64" i="2"/>
  <c r="B64" i="2" s="1"/>
  <c r="B70" i="2"/>
  <c r="C66" i="2"/>
  <c r="C51" i="6"/>
  <c r="B54" i="6"/>
  <c r="H49" i="6"/>
  <c r="H50" i="6" s="1"/>
  <c r="K49" i="6"/>
  <c r="N50" i="6"/>
  <c r="M49" i="6"/>
  <c r="M50" i="6" s="1"/>
  <c r="Q50" i="6"/>
  <c r="L49" i="6"/>
  <c r="O49" i="6"/>
  <c r="I49" i="6"/>
  <c r="I50" i="6" s="1"/>
  <c r="O50" i="6"/>
  <c r="K50" i="6"/>
  <c r="R49" i="6"/>
  <c r="F49" i="6"/>
  <c r="F50" i="6" s="1"/>
  <c r="C49" i="6"/>
  <c r="B49" i="6" s="1"/>
  <c r="P49" i="6"/>
  <c r="J49" i="6"/>
  <c r="J50" i="6" s="1"/>
  <c r="P50" i="6"/>
  <c r="N49" i="6"/>
  <c r="R50" i="6"/>
  <c r="D49" i="6"/>
  <c r="D50" i="6" s="1"/>
  <c r="G49" i="6"/>
  <c r="G50" i="6" s="1"/>
  <c r="Q49" i="6"/>
  <c r="E49" i="6"/>
  <c r="E50" i="6" s="1"/>
  <c r="L50" i="6"/>
  <c r="C50" i="6"/>
  <c r="B50" i="6" s="1"/>
  <c r="C70" i="2" l="1"/>
  <c r="B74" i="2"/>
  <c r="B57" i="6"/>
  <c r="C54" i="6"/>
  <c r="H52" i="6"/>
  <c r="I52" i="6"/>
  <c r="I53" i="6" s="1"/>
  <c r="H53" i="6"/>
  <c r="J52" i="6"/>
  <c r="J53" i="6" s="1"/>
  <c r="G52" i="6"/>
  <c r="G53" i="6" s="1"/>
  <c r="L52" i="6"/>
  <c r="L53" i="6" s="1"/>
  <c r="M52" i="6"/>
  <c r="M53" i="6" s="1"/>
  <c r="N52" i="6"/>
  <c r="K52" i="6"/>
  <c r="K53" i="6" s="1"/>
  <c r="P52" i="6"/>
  <c r="O53" i="6"/>
  <c r="Q52" i="6"/>
  <c r="P53" i="6"/>
  <c r="R52" i="6"/>
  <c r="Q53" i="6"/>
  <c r="O52" i="6"/>
  <c r="N53" i="6"/>
  <c r="D52" i="6"/>
  <c r="D53" i="6" s="1"/>
  <c r="C53" i="6"/>
  <c r="B53" i="6" s="1"/>
  <c r="E52" i="6"/>
  <c r="E53" i="6" s="1"/>
  <c r="F52" i="6"/>
  <c r="F53" i="6" s="1"/>
  <c r="C52" i="6"/>
  <c r="B52" i="6" s="1"/>
  <c r="R53" i="6"/>
  <c r="C68" i="2"/>
  <c r="B68" i="2" s="1"/>
  <c r="C67" i="2"/>
  <c r="B67" i="2" s="1"/>
  <c r="C69" i="2"/>
  <c r="B69" i="2" s="1"/>
  <c r="H55" i="6" l="1"/>
  <c r="I55" i="6"/>
  <c r="I56" i="6" s="1"/>
  <c r="H56" i="6"/>
  <c r="J55" i="6"/>
  <c r="J56" i="6" s="1"/>
  <c r="G55" i="6"/>
  <c r="G56" i="6" s="1"/>
  <c r="N56" i="6"/>
  <c r="L55" i="6"/>
  <c r="L56" i="6" s="1"/>
  <c r="M55" i="6"/>
  <c r="M56" i="6" s="1"/>
  <c r="N55" i="6"/>
  <c r="K55" i="6"/>
  <c r="K56" i="6" s="1"/>
  <c r="P55" i="6"/>
  <c r="O56" i="6"/>
  <c r="Q55" i="6"/>
  <c r="P56" i="6"/>
  <c r="R55" i="6"/>
  <c r="Q56" i="6"/>
  <c r="O55" i="6"/>
  <c r="D55" i="6"/>
  <c r="D56" i="6" s="1"/>
  <c r="C56" i="6"/>
  <c r="B56" i="6" s="1"/>
  <c r="E55" i="6"/>
  <c r="E56" i="6" s="1"/>
  <c r="F55" i="6"/>
  <c r="F56" i="6" s="1"/>
  <c r="C55" i="6"/>
  <c r="B55" i="6" s="1"/>
  <c r="R56" i="6"/>
  <c r="B60" i="6"/>
  <c r="C57" i="6"/>
  <c r="C74" i="2"/>
  <c r="B78" i="2"/>
  <c r="C72" i="2"/>
  <c r="B72" i="2" s="1"/>
  <c r="C71" i="2"/>
  <c r="B71" i="2" s="1"/>
  <c r="C73" i="2"/>
  <c r="B73" i="2" s="1"/>
  <c r="C75" i="2" l="1"/>
  <c r="B75" i="2" s="1"/>
  <c r="C77" i="2"/>
  <c r="B77" i="2" s="1"/>
  <c r="C76" i="2"/>
  <c r="B76" i="2" s="1"/>
  <c r="P58" i="6"/>
  <c r="O59" i="6"/>
  <c r="Q58" i="6"/>
  <c r="P59" i="6"/>
  <c r="R58" i="6"/>
  <c r="Q59" i="6"/>
  <c r="O58" i="6"/>
  <c r="N59" i="6"/>
  <c r="J58" i="6"/>
  <c r="J59" i="6" s="1"/>
  <c r="D58" i="6"/>
  <c r="C59" i="6"/>
  <c r="B59" i="6" s="1"/>
  <c r="E58" i="6"/>
  <c r="E59" i="6" s="1"/>
  <c r="D59" i="6"/>
  <c r="F58" i="6"/>
  <c r="F59" i="6" s="1"/>
  <c r="C58" i="6"/>
  <c r="B58" i="6" s="1"/>
  <c r="R59" i="6"/>
  <c r="H58" i="6"/>
  <c r="H59" i="6" s="1"/>
  <c r="I58" i="6"/>
  <c r="I59" i="6" s="1"/>
  <c r="L58" i="6"/>
  <c r="L59" i="6" s="1"/>
  <c r="M58" i="6"/>
  <c r="M59" i="6" s="1"/>
  <c r="N58" i="6"/>
  <c r="K58" i="6"/>
  <c r="K59" i="6" s="1"/>
  <c r="G58" i="6"/>
  <c r="G59" i="6" s="1"/>
  <c r="B63" i="6"/>
  <c r="C60" i="6"/>
  <c r="B82" i="2"/>
  <c r="C78" i="2"/>
  <c r="B86" i="2" l="1"/>
  <c r="C82" i="2"/>
  <c r="D61" i="6"/>
  <c r="D62" i="6" s="1"/>
  <c r="C62" i="6"/>
  <c r="B62" i="6" s="1"/>
  <c r="E61" i="6"/>
  <c r="F61" i="6"/>
  <c r="E62" i="6"/>
  <c r="C61" i="6"/>
  <c r="B61" i="6" s="1"/>
  <c r="R62" i="6"/>
  <c r="H61" i="6"/>
  <c r="H62" i="6" s="1"/>
  <c r="I61" i="6"/>
  <c r="I62" i="6" s="1"/>
  <c r="J61" i="6"/>
  <c r="J62" i="6" s="1"/>
  <c r="G61" i="6"/>
  <c r="G62" i="6" s="1"/>
  <c r="F62" i="6"/>
  <c r="L61" i="6"/>
  <c r="L62" i="6" s="1"/>
  <c r="M61" i="6"/>
  <c r="M62" i="6" s="1"/>
  <c r="N61" i="6"/>
  <c r="K61" i="6"/>
  <c r="K62" i="6" s="1"/>
  <c r="P61" i="6"/>
  <c r="O62" i="6"/>
  <c r="Q61" i="6"/>
  <c r="P62" i="6"/>
  <c r="R61" i="6"/>
  <c r="Q62" i="6"/>
  <c r="O61" i="6"/>
  <c r="N62" i="6"/>
  <c r="C63" i="6"/>
  <c r="B66" i="6"/>
  <c r="C80" i="2"/>
  <c r="B80" i="2" s="1"/>
  <c r="C79" i="2"/>
  <c r="B79" i="2" s="1"/>
  <c r="C81" i="2"/>
  <c r="B81" i="2" s="1"/>
  <c r="H64" i="6" l="1"/>
  <c r="I64" i="6"/>
  <c r="I65" i="6" s="1"/>
  <c r="H65" i="6"/>
  <c r="J64" i="6"/>
  <c r="J65" i="6" s="1"/>
  <c r="G64" i="6"/>
  <c r="G65" i="6" s="1"/>
  <c r="L64" i="6"/>
  <c r="L65" i="6" s="1"/>
  <c r="M64" i="6"/>
  <c r="M65" i="6" s="1"/>
  <c r="N64" i="6"/>
  <c r="K64" i="6"/>
  <c r="K65" i="6" s="1"/>
  <c r="P64" i="6"/>
  <c r="O65" i="6"/>
  <c r="Q64" i="6"/>
  <c r="P65" i="6"/>
  <c r="R64" i="6"/>
  <c r="Q65" i="6"/>
  <c r="O64" i="6"/>
  <c r="D64" i="6"/>
  <c r="D65" i="6" s="1"/>
  <c r="C65" i="6"/>
  <c r="B65" i="6" s="1"/>
  <c r="E64" i="6"/>
  <c r="E65" i="6" s="1"/>
  <c r="F64" i="6"/>
  <c r="F65" i="6" s="1"/>
  <c r="C64" i="6"/>
  <c r="B64" i="6" s="1"/>
  <c r="R65" i="6"/>
  <c r="N65" i="6"/>
  <c r="C84" i="2"/>
  <c r="B84" i="2" s="1"/>
  <c r="C85" i="2"/>
  <c r="B85" i="2" s="1"/>
  <c r="C83" i="2"/>
  <c r="B83" i="2" s="1"/>
  <c r="B69" i="6"/>
  <c r="C66" i="6"/>
  <c r="C86" i="2"/>
  <c r="B90" i="2"/>
  <c r="B94" i="2" l="1"/>
  <c r="C90" i="2"/>
  <c r="C89" i="2"/>
  <c r="B89" i="2" s="1"/>
  <c r="C88" i="2"/>
  <c r="B88" i="2" s="1"/>
  <c r="C87" i="2"/>
  <c r="B87" i="2" s="1"/>
  <c r="P67" i="6"/>
  <c r="O68" i="6"/>
  <c r="Q67" i="6"/>
  <c r="P68" i="6"/>
  <c r="R67" i="6"/>
  <c r="Q68" i="6"/>
  <c r="O67" i="6"/>
  <c r="N68" i="6"/>
  <c r="D67" i="6"/>
  <c r="D68" i="6" s="1"/>
  <c r="C68" i="6"/>
  <c r="B68" i="6" s="1"/>
  <c r="E67" i="6"/>
  <c r="E68" i="6" s="1"/>
  <c r="F67" i="6"/>
  <c r="C67" i="6"/>
  <c r="B67" i="6" s="1"/>
  <c r="R68" i="6"/>
  <c r="H67" i="6"/>
  <c r="H68" i="6" s="1"/>
  <c r="I67" i="6"/>
  <c r="J67" i="6"/>
  <c r="J68" i="6" s="1"/>
  <c r="I68" i="6"/>
  <c r="G67" i="6"/>
  <c r="G68" i="6" s="1"/>
  <c r="F68" i="6"/>
  <c r="L67" i="6"/>
  <c r="L68" i="6" s="1"/>
  <c r="M67" i="6"/>
  <c r="M68" i="6" s="1"/>
  <c r="N67" i="6"/>
  <c r="K67" i="6"/>
  <c r="K68" i="6" s="1"/>
  <c r="B72" i="6"/>
  <c r="C69" i="6"/>
  <c r="P70" i="6" l="1"/>
  <c r="O71" i="6"/>
  <c r="Q70" i="6"/>
  <c r="P71" i="6"/>
  <c r="R70" i="6"/>
  <c r="Q71" i="6"/>
  <c r="O70" i="6"/>
  <c r="N71" i="6"/>
  <c r="D70" i="6"/>
  <c r="C71" i="6"/>
  <c r="B71" i="6" s="1"/>
  <c r="E70" i="6"/>
  <c r="E71" i="6" s="1"/>
  <c r="D71" i="6"/>
  <c r="F70" i="6"/>
  <c r="C70" i="6"/>
  <c r="B70" i="6" s="1"/>
  <c r="R71" i="6"/>
  <c r="H70" i="6"/>
  <c r="H71" i="6" s="1"/>
  <c r="I70" i="6"/>
  <c r="I71" i="6" s="1"/>
  <c r="J70" i="6"/>
  <c r="G70" i="6"/>
  <c r="G71" i="6" s="1"/>
  <c r="L70" i="6"/>
  <c r="L71" i="6" s="1"/>
  <c r="M70" i="6"/>
  <c r="N70" i="6"/>
  <c r="M71" i="6"/>
  <c r="K70" i="6"/>
  <c r="K71" i="6" s="1"/>
  <c r="J71" i="6"/>
  <c r="F71" i="6"/>
  <c r="C72" i="6"/>
  <c r="B75" i="6"/>
  <c r="C92" i="2"/>
  <c r="B92" i="2" s="1"/>
  <c r="C91" i="2"/>
  <c r="B91" i="2" s="1"/>
  <c r="C93" i="2"/>
  <c r="B93" i="2" s="1"/>
  <c r="C94" i="2"/>
  <c r="B98" i="2"/>
  <c r="C97" i="2" l="1"/>
  <c r="B97" i="2" s="1"/>
  <c r="C96" i="2"/>
  <c r="B96" i="2" s="1"/>
  <c r="C95" i="2"/>
  <c r="B95" i="2" s="1"/>
  <c r="B78" i="6"/>
  <c r="C75" i="6"/>
  <c r="P73" i="6"/>
  <c r="O74" i="6"/>
  <c r="Q73" i="6"/>
  <c r="P74" i="6"/>
  <c r="R73" i="6"/>
  <c r="G73" i="6"/>
  <c r="G74" i="6" s="1"/>
  <c r="D73" i="6"/>
  <c r="D74" i="6" s="1"/>
  <c r="C74" i="6"/>
  <c r="E73" i="6"/>
  <c r="F73" i="6"/>
  <c r="F74" i="6" s="1"/>
  <c r="E74" i="6"/>
  <c r="K73" i="6"/>
  <c r="Q74" i="6"/>
  <c r="H73" i="6"/>
  <c r="H74" i="6" s="1"/>
  <c r="I73" i="6"/>
  <c r="I74" i="6" s="1"/>
  <c r="J73" i="6"/>
  <c r="J74" i="6" s="1"/>
  <c r="O73" i="6"/>
  <c r="N74" i="6"/>
  <c r="L73" i="6"/>
  <c r="L74" i="6" s="1"/>
  <c r="K74" i="6"/>
  <c r="M73" i="6"/>
  <c r="M74" i="6" s="1"/>
  <c r="N73" i="6"/>
  <c r="C73" i="6"/>
  <c r="B73" i="6" s="1"/>
  <c r="B74" i="6"/>
  <c r="R74" i="6"/>
  <c r="B102" i="2"/>
  <c r="C98" i="2"/>
  <c r="C78" i="6" l="1"/>
  <c r="B81" i="6"/>
  <c r="C100" i="2"/>
  <c r="B100" i="2" s="1"/>
  <c r="C99" i="2"/>
  <c r="B99" i="2" s="1"/>
  <c r="C101" i="2"/>
  <c r="B101" i="2" s="1"/>
  <c r="B106" i="2"/>
  <c r="C102" i="2"/>
  <c r="H76" i="6"/>
  <c r="H77" i="6" s="1"/>
  <c r="I76" i="6"/>
  <c r="O76" i="6"/>
  <c r="N77" i="6"/>
  <c r="I77" i="6"/>
  <c r="P77" i="6"/>
  <c r="N76" i="6"/>
  <c r="L76" i="6"/>
  <c r="L77" i="6" s="1"/>
  <c r="C76" i="6"/>
  <c r="B76" i="6" s="1"/>
  <c r="R77" i="6"/>
  <c r="Q77" i="6"/>
  <c r="F76" i="6"/>
  <c r="P76" i="6"/>
  <c r="O77" i="6"/>
  <c r="G76" i="6"/>
  <c r="G77" i="6" s="1"/>
  <c r="F77" i="6"/>
  <c r="J76" i="6"/>
  <c r="J77" i="6" s="1"/>
  <c r="M76" i="6"/>
  <c r="M77" i="6" s="1"/>
  <c r="Q76" i="6"/>
  <c r="D76" i="6"/>
  <c r="D77" i="6" s="1"/>
  <c r="C77" i="6"/>
  <c r="B77" i="6" s="1"/>
  <c r="E76" i="6"/>
  <c r="E77" i="6" s="1"/>
  <c r="K76" i="6"/>
  <c r="K77" i="6" s="1"/>
  <c r="R76" i="6"/>
  <c r="C104" i="2" l="1"/>
  <c r="B104" i="2" s="1"/>
  <c r="C103" i="2"/>
  <c r="B103" i="2" s="1"/>
  <c r="C105" i="2"/>
  <c r="B105" i="2" s="1"/>
  <c r="C106" i="2"/>
  <c r="B110" i="2"/>
  <c r="B84" i="6"/>
  <c r="C81" i="6"/>
  <c r="P79" i="6"/>
  <c r="O80" i="6"/>
  <c r="O79" i="6"/>
  <c r="N80" i="6"/>
  <c r="I79" i="6"/>
  <c r="I80" i="6" s="1"/>
  <c r="D79" i="6"/>
  <c r="D80" i="6" s="1"/>
  <c r="C80" i="6"/>
  <c r="B80" i="6" s="1"/>
  <c r="C79" i="6"/>
  <c r="B79" i="6" s="1"/>
  <c r="R80" i="6"/>
  <c r="P80" i="6"/>
  <c r="Q80" i="6"/>
  <c r="E79" i="6"/>
  <c r="E80" i="6" s="1"/>
  <c r="H79" i="6"/>
  <c r="H80" i="6" s="1"/>
  <c r="G79" i="6"/>
  <c r="G80" i="6" s="1"/>
  <c r="F79" i="6"/>
  <c r="F80" i="6" s="1"/>
  <c r="J79" i="6"/>
  <c r="J80" i="6" s="1"/>
  <c r="L79" i="6"/>
  <c r="L80" i="6" s="1"/>
  <c r="K79" i="6"/>
  <c r="K80" i="6" s="1"/>
  <c r="N79" i="6"/>
  <c r="Q79" i="6"/>
  <c r="R79" i="6"/>
  <c r="M79" i="6"/>
  <c r="M80" i="6" s="1"/>
  <c r="C107" i="2" l="1"/>
  <c r="B107" i="2" s="1"/>
  <c r="C109" i="2"/>
  <c r="B109" i="2" s="1"/>
  <c r="C108" i="2"/>
  <c r="B108" i="2" s="1"/>
  <c r="G82" i="6"/>
  <c r="G83" i="6" s="1"/>
  <c r="L82" i="6"/>
  <c r="P83" i="6"/>
  <c r="I82" i="6"/>
  <c r="I83" i="6" s="1"/>
  <c r="E82" i="6"/>
  <c r="Q83" i="6"/>
  <c r="O83" i="6"/>
  <c r="K82" i="6"/>
  <c r="K83" i="6" s="1"/>
  <c r="N83" i="6"/>
  <c r="Q82" i="6"/>
  <c r="H82" i="6"/>
  <c r="H83" i="6" s="1"/>
  <c r="L83" i="6"/>
  <c r="N82" i="6"/>
  <c r="J82" i="6"/>
  <c r="J83" i="6" s="1"/>
  <c r="O82" i="6"/>
  <c r="R83" i="6"/>
  <c r="E83" i="6"/>
  <c r="M82" i="6"/>
  <c r="M83" i="6" s="1"/>
  <c r="C82" i="6"/>
  <c r="B82" i="6" s="1"/>
  <c r="F82" i="6"/>
  <c r="F83" i="6" s="1"/>
  <c r="R82" i="6"/>
  <c r="D82" i="6"/>
  <c r="D83" i="6" s="1"/>
  <c r="P82" i="6"/>
  <c r="C83" i="6"/>
  <c r="B83" i="6" s="1"/>
  <c r="B87" i="6"/>
  <c r="C84" i="6"/>
  <c r="B114" i="2"/>
  <c r="C110" i="2"/>
  <c r="C112" i="2" l="1"/>
  <c r="B112" i="2" s="1"/>
  <c r="C113" i="2"/>
  <c r="B113" i="2" s="1"/>
  <c r="C111" i="2"/>
  <c r="B111" i="2" s="1"/>
  <c r="C114" i="2"/>
  <c r="B118" i="2"/>
  <c r="G85" i="6"/>
  <c r="H85" i="6"/>
  <c r="H86" i="6" s="1"/>
  <c r="I85" i="6"/>
  <c r="I86" i="6" s="1"/>
  <c r="P85" i="6"/>
  <c r="P86" i="6"/>
  <c r="R85" i="6"/>
  <c r="L85" i="6"/>
  <c r="L86" i="6" s="1"/>
  <c r="K85" i="6"/>
  <c r="K86" i="6" s="1"/>
  <c r="M85" i="6"/>
  <c r="N86" i="6"/>
  <c r="N85" i="6"/>
  <c r="O86" i="6"/>
  <c r="F85" i="6"/>
  <c r="F86" i="6" s="1"/>
  <c r="C86" i="6"/>
  <c r="B86" i="6" s="1"/>
  <c r="O85" i="6"/>
  <c r="E85" i="6"/>
  <c r="E86" i="6" s="1"/>
  <c r="C85" i="6"/>
  <c r="B85" i="6" s="1"/>
  <c r="D85" i="6"/>
  <c r="D86" i="6" s="1"/>
  <c r="G86" i="6"/>
  <c r="J85" i="6"/>
  <c r="J86" i="6" s="1"/>
  <c r="Q85" i="6"/>
  <c r="Q86" i="6"/>
  <c r="R86" i="6"/>
  <c r="M86" i="6"/>
  <c r="B90" i="6"/>
  <c r="C87" i="6"/>
  <c r="K88" i="6" l="1"/>
  <c r="N89" i="6"/>
  <c r="L88" i="6"/>
  <c r="L89" i="6" s="1"/>
  <c r="K89" i="6"/>
  <c r="M88" i="6"/>
  <c r="J88" i="6"/>
  <c r="J89" i="6" s="1"/>
  <c r="O89" i="6"/>
  <c r="Q88" i="6"/>
  <c r="M89" i="6"/>
  <c r="C88" i="6"/>
  <c r="B88" i="6" s="1"/>
  <c r="D88" i="6"/>
  <c r="D89" i="6" s="1"/>
  <c r="C89" i="6"/>
  <c r="B89" i="6" s="1"/>
  <c r="E88" i="6"/>
  <c r="R88" i="6"/>
  <c r="Q89" i="6"/>
  <c r="R89" i="6"/>
  <c r="N88" i="6"/>
  <c r="G88" i="6"/>
  <c r="G89" i="6" s="1"/>
  <c r="H88" i="6"/>
  <c r="H89" i="6" s="1"/>
  <c r="I88" i="6"/>
  <c r="I89" i="6" s="1"/>
  <c r="F88" i="6"/>
  <c r="F89" i="6" s="1"/>
  <c r="E89" i="6"/>
  <c r="O88" i="6"/>
  <c r="P88" i="6"/>
  <c r="P89" i="6"/>
  <c r="C115" i="2"/>
  <c r="B115" i="2" s="1"/>
  <c r="C117" i="2"/>
  <c r="B117" i="2" s="1"/>
  <c r="C116" i="2"/>
  <c r="B116" i="2" s="1"/>
  <c r="C90" i="6"/>
  <c r="B93" i="6"/>
  <c r="B122" i="2"/>
  <c r="C118" i="2"/>
  <c r="C122" i="2" l="1"/>
  <c r="B126" i="2"/>
  <c r="C126" i="2" s="1"/>
  <c r="C120" i="2"/>
  <c r="B120" i="2" s="1"/>
  <c r="C119" i="2"/>
  <c r="B119" i="2" s="1"/>
  <c r="C121" i="2"/>
  <c r="B121" i="2" s="1"/>
  <c r="B96" i="6"/>
  <c r="C96" i="6" s="1"/>
  <c r="C93" i="6"/>
  <c r="C91" i="6"/>
  <c r="B91" i="6" s="1"/>
  <c r="D91" i="6"/>
  <c r="C92" i="6"/>
  <c r="B92" i="6" s="1"/>
  <c r="E91" i="6"/>
  <c r="D92" i="6"/>
  <c r="R91" i="6"/>
  <c r="Q92" i="6"/>
  <c r="G91" i="6"/>
  <c r="G92" i="6" s="1"/>
  <c r="H91" i="6"/>
  <c r="H92" i="6" s="1"/>
  <c r="I91" i="6"/>
  <c r="F91" i="6"/>
  <c r="F92" i="6" s="1"/>
  <c r="E92" i="6"/>
  <c r="K91" i="6"/>
  <c r="K92" i="6" s="1"/>
  <c r="N92" i="6"/>
  <c r="L91" i="6"/>
  <c r="L92" i="6" s="1"/>
  <c r="J91" i="6"/>
  <c r="J92" i="6" s="1"/>
  <c r="O91" i="6"/>
  <c r="R92" i="6"/>
  <c r="P91" i="6"/>
  <c r="O92" i="6"/>
  <c r="Q91" i="6"/>
  <c r="P92" i="6"/>
  <c r="N91" i="6"/>
  <c r="M91" i="6"/>
  <c r="M92" i="6" s="1"/>
  <c r="I92" i="6"/>
  <c r="O94" i="6" l="1"/>
  <c r="R95" i="6"/>
  <c r="P94" i="6"/>
  <c r="O95" i="6"/>
  <c r="Q94" i="6"/>
  <c r="P95" i="6"/>
  <c r="N94" i="6"/>
  <c r="C95" i="6"/>
  <c r="B95" i="6" s="1"/>
  <c r="Q95" i="6"/>
  <c r="F94" i="6"/>
  <c r="C94" i="6"/>
  <c r="B94" i="6" s="1"/>
  <c r="F95" i="6"/>
  <c r="D94" i="6"/>
  <c r="E94" i="6"/>
  <c r="D95" i="6"/>
  <c r="R94" i="6"/>
  <c r="G94" i="6"/>
  <c r="H94" i="6"/>
  <c r="G95" i="6"/>
  <c r="H95" i="6"/>
  <c r="E95" i="6"/>
  <c r="K94" i="6"/>
  <c r="K95" i="6" s="1"/>
  <c r="M94" i="6"/>
  <c r="M95" i="6" s="1"/>
  <c r="I94" i="6"/>
  <c r="I95" i="6" s="1"/>
  <c r="L94" i="6"/>
  <c r="L95" i="6"/>
  <c r="N95" i="6"/>
  <c r="J94" i="6"/>
  <c r="J95" i="6" s="1"/>
  <c r="K97" i="6"/>
  <c r="N98" i="6"/>
  <c r="L97" i="6"/>
  <c r="L98" i="6" s="1"/>
  <c r="K98" i="6"/>
  <c r="M97" i="6"/>
  <c r="J97" i="6"/>
  <c r="R98" i="6"/>
  <c r="P97" i="6"/>
  <c r="Q97" i="6"/>
  <c r="N97" i="6"/>
  <c r="D97" i="6"/>
  <c r="H97" i="6"/>
  <c r="H98" i="6" s="1"/>
  <c r="F97" i="6"/>
  <c r="F98" i="6" s="1"/>
  <c r="O97" i="6"/>
  <c r="O98" i="6"/>
  <c r="P98" i="6"/>
  <c r="M98" i="6"/>
  <c r="E97" i="6"/>
  <c r="D98" i="6"/>
  <c r="Q98" i="6"/>
  <c r="G97" i="6"/>
  <c r="G98" i="6" s="1"/>
  <c r="E98" i="6"/>
  <c r="C97" i="6"/>
  <c r="B97" i="6" s="1"/>
  <c r="C98" i="6"/>
  <c r="R97" i="6"/>
  <c r="J98" i="6"/>
  <c r="I97" i="6"/>
  <c r="I98" i="6" s="1"/>
  <c r="C129" i="2"/>
  <c r="C128" i="2"/>
  <c r="B128" i="2" s="1"/>
  <c r="C127" i="2"/>
  <c r="B127" i="2" s="1"/>
  <c r="C125" i="2"/>
  <c r="B125" i="2" s="1"/>
  <c r="C123" i="2"/>
  <c r="B123" i="2" s="1"/>
  <c r="C124" i="2"/>
  <c r="B124" i="2" s="1"/>
  <c r="O6" i="2" l="1"/>
  <c r="R6" i="2"/>
  <c r="Q7" i="2"/>
  <c r="P8" i="2"/>
  <c r="O8" i="2"/>
  <c r="Q8" i="2"/>
  <c r="P6" i="2"/>
  <c r="O7" i="2"/>
  <c r="Q6" i="2"/>
  <c r="R7" i="2"/>
  <c r="R8" i="2"/>
  <c r="P7" i="2"/>
  <c r="N8" i="2"/>
  <c r="N9" i="3" s="1"/>
  <c r="N6" i="2"/>
  <c r="R7" i="6"/>
  <c r="P7" i="6"/>
  <c r="N6" i="6"/>
  <c r="P6" i="6"/>
  <c r="N7" i="6"/>
  <c r="O7" i="6"/>
  <c r="Q7" i="6"/>
  <c r="Q6" i="6"/>
  <c r="R6" i="6"/>
  <c r="O6" i="6"/>
  <c r="B98" i="6"/>
  <c r="I25" i="8" s="1"/>
  <c r="G6" i="6"/>
  <c r="H6" i="6"/>
  <c r="K7" i="6"/>
  <c r="J6" i="6"/>
  <c r="F6" i="6"/>
  <c r="H7" i="6"/>
  <c r="M6" i="6"/>
  <c r="L7" i="6"/>
  <c r="G7" i="6"/>
  <c r="I6" i="6"/>
  <c r="D6" i="6"/>
  <c r="L6" i="6"/>
  <c r="K6" i="6"/>
  <c r="F7" i="6"/>
  <c r="E7" i="6"/>
  <c r="E6" i="6"/>
  <c r="I7" i="6"/>
  <c r="M7" i="6"/>
  <c r="D7" i="6"/>
  <c r="J7" i="6"/>
  <c r="B129" i="2"/>
  <c r="K7" i="2"/>
  <c r="K7" i="3" s="1"/>
  <c r="H7" i="2"/>
  <c r="H7" i="3" s="1"/>
  <c r="M7" i="2"/>
  <c r="M7" i="3" s="1"/>
  <c r="E7" i="2"/>
  <c r="J8" i="2"/>
  <c r="J9" i="3" s="1"/>
  <c r="F8" i="2"/>
  <c r="D7" i="2"/>
  <c r="I8" i="2"/>
  <c r="I9" i="3" s="1"/>
  <c r="F7" i="2"/>
  <c r="N7" i="2"/>
  <c r="L8" i="2"/>
  <c r="L9" i="3" s="1"/>
  <c r="M6" i="2"/>
  <c r="G7" i="2"/>
  <c r="J6" i="2"/>
  <c r="J5" i="3" s="1"/>
  <c r="K8" i="2"/>
  <c r="K9" i="3" s="1"/>
  <c r="F6" i="2"/>
  <c r="D8" i="2"/>
  <c r="H6" i="2"/>
  <c r="H5" i="3" s="1"/>
  <c r="E6" i="2"/>
  <c r="G6" i="2"/>
  <c r="K6" i="2"/>
  <c r="K5" i="3" s="1"/>
  <c r="H8" i="2"/>
  <c r="H9" i="3" s="1"/>
  <c r="D6" i="2"/>
  <c r="I6" i="2"/>
  <c r="I5" i="3" s="1"/>
  <c r="L6" i="2"/>
  <c r="L5" i="3" s="1"/>
  <c r="L7" i="2"/>
  <c r="L7" i="3" s="1"/>
  <c r="I7" i="2"/>
  <c r="I7" i="3" s="1"/>
  <c r="G8" i="2"/>
  <c r="J7" i="2"/>
  <c r="J7" i="3" s="1"/>
  <c r="M8" i="2"/>
  <c r="E8" i="2"/>
  <c r="J25" i="8"/>
  <c r="I28" i="8"/>
  <c r="M9" i="3" l="1"/>
  <c r="N7" i="3"/>
  <c r="F9" i="3"/>
  <c r="D29" i="3"/>
  <c r="E29" i="3"/>
  <c r="D26" i="3"/>
  <c r="M26" i="3"/>
  <c r="M27" i="3" s="1"/>
  <c r="K29" i="3"/>
  <c r="K28" i="3" s="1"/>
  <c r="O26" i="3"/>
  <c r="O29" i="3"/>
  <c r="P29" i="3"/>
  <c r="D9" i="3"/>
  <c r="D15" i="3" s="1"/>
  <c r="G7" i="3"/>
  <c r="F7" i="3"/>
  <c r="H12" i="9" s="1"/>
  <c r="M29" i="3"/>
  <c r="M28" i="3" s="1"/>
  <c r="F29" i="3"/>
  <c r="I26" i="3"/>
  <c r="H29" i="3"/>
  <c r="H26" i="3"/>
  <c r="H34" i="3" s="1"/>
  <c r="R26" i="3"/>
  <c r="N29" i="3"/>
  <c r="R29" i="3"/>
  <c r="G9" i="3"/>
  <c r="G15" i="3" s="1"/>
  <c r="G18" i="3" s="1"/>
  <c r="G5" i="3"/>
  <c r="F5" i="3"/>
  <c r="M5" i="3"/>
  <c r="M46" i="3" s="1"/>
  <c r="E7" i="3"/>
  <c r="I29" i="3"/>
  <c r="I28" i="3" s="1"/>
  <c r="K26" i="3"/>
  <c r="G29" i="3"/>
  <c r="F26" i="3"/>
  <c r="G26" i="3"/>
  <c r="Q26" i="3"/>
  <c r="P26" i="3"/>
  <c r="N5" i="3"/>
  <c r="E9" i="3"/>
  <c r="E15" i="3" s="1"/>
  <c r="E18" i="3" s="1"/>
  <c r="D5" i="3"/>
  <c r="E5" i="3"/>
  <c r="E11" i="3" s="1"/>
  <c r="D7" i="3"/>
  <c r="J29" i="3"/>
  <c r="J28" i="3" s="1"/>
  <c r="E26" i="3"/>
  <c r="L26" i="3"/>
  <c r="L27" i="3" s="1"/>
  <c r="L29" i="3"/>
  <c r="L28" i="3" s="1"/>
  <c r="J26" i="3"/>
  <c r="J27" i="3" s="1"/>
  <c r="Q29" i="3"/>
  <c r="N26" i="3"/>
  <c r="N34" i="3" s="1"/>
  <c r="P7" i="3"/>
  <c r="P28" i="3" s="1"/>
  <c r="P9" i="3"/>
  <c r="P15" i="3" s="1"/>
  <c r="P5" i="3"/>
  <c r="Q9" i="3"/>
  <c r="Q15" i="3" s="1"/>
  <c r="Q18" i="3" s="1"/>
  <c r="Q5" i="3"/>
  <c r="Q8" i="3" s="1"/>
  <c r="Q7" i="3"/>
  <c r="Q27" i="3" s="1"/>
  <c r="R7" i="3"/>
  <c r="O7" i="3"/>
  <c r="O27" i="3" s="1"/>
  <c r="R9" i="3"/>
  <c r="O9" i="3"/>
  <c r="O34" i="3" s="1"/>
  <c r="R5" i="3"/>
  <c r="O5" i="3"/>
  <c r="N15" i="3"/>
  <c r="N18" i="3" s="1"/>
  <c r="E28" i="8"/>
  <c r="G28" i="8"/>
  <c r="E25" i="8"/>
  <c r="G25" i="8"/>
  <c r="M25" i="8"/>
  <c r="K25" i="8"/>
  <c r="K28" i="8"/>
  <c r="D25" i="8"/>
  <c r="F25" i="8"/>
  <c r="M28" i="8"/>
  <c r="H25" i="8"/>
  <c r="J28" i="8"/>
  <c r="L28" i="8"/>
  <c r="H28" i="8"/>
  <c r="L25" i="8"/>
  <c r="F28" i="8"/>
  <c r="D28" i="8"/>
  <c r="E7" i="8"/>
  <c r="E5" i="8"/>
  <c r="R7" i="8"/>
  <c r="Q7" i="8"/>
  <c r="P7" i="8"/>
  <c r="I27" i="3"/>
  <c r="D46" i="3"/>
  <c r="E46" i="3"/>
  <c r="K15" i="3"/>
  <c r="K18" i="3" s="1"/>
  <c r="K34" i="3"/>
  <c r="L15" i="3"/>
  <c r="L18" i="3" s="1"/>
  <c r="L34" i="3"/>
  <c r="M34" i="3"/>
  <c r="M15" i="3"/>
  <c r="H15" i="3"/>
  <c r="H18" i="3" s="1"/>
  <c r="H6" i="3"/>
  <c r="H8" i="3"/>
  <c r="H46" i="3"/>
  <c r="J6" i="3"/>
  <c r="J46" i="3"/>
  <c r="J8" i="3"/>
  <c r="N27" i="3"/>
  <c r="F15" i="3"/>
  <c r="F18" i="3" s="1"/>
  <c r="H28" i="3"/>
  <c r="L46" i="3"/>
  <c r="L6" i="3"/>
  <c r="L8" i="3"/>
  <c r="K6" i="3"/>
  <c r="K8" i="3"/>
  <c r="K46" i="3"/>
  <c r="J15" i="3"/>
  <c r="J18" i="3" s="1"/>
  <c r="K27" i="3"/>
  <c r="I6" i="3"/>
  <c r="I8" i="3"/>
  <c r="I46" i="3"/>
  <c r="F46" i="3"/>
  <c r="M8" i="3"/>
  <c r="I15" i="3"/>
  <c r="I18" i="3" s="1"/>
  <c r="I34" i="3"/>
  <c r="D7" i="8"/>
  <c r="M5" i="8"/>
  <c r="L5" i="8"/>
  <c r="K5" i="8"/>
  <c r="J5" i="8"/>
  <c r="K9" i="8"/>
  <c r="J9" i="8"/>
  <c r="F7" i="8"/>
  <c r="O7" i="8"/>
  <c r="G5" i="8"/>
  <c r="F5" i="8"/>
  <c r="D5" i="8"/>
  <c r="M9" i="8"/>
  <c r="H9" i="8"/>
  <c r="I9" i="8"/>
  <c r="N7" i="8"/>
  <c r="G9" i="8"/>
  <c r="F9" i="8"/>
  <c r="E9" i="8"/>
  <c r="D9" i="8"/>
  <c r="I7" i="8"/>
  <c r="I27" i="8" s="1"/>
  <c r="H7" i="8"/>
  <c r="M7" i="8"/>
  <c r="L7" i="8"/>
  <c r="K7" i="8"/>
  <c r="J7" i="8"/>
  <c r="I5" i="8"/>
  <c r="H5" i="8"/>
  <c r="G7" i="8"/>
  <c r="L9" i="8"/>
  <c r="O41" i="3" l="1"/>
  <c r="R31" i="10" s="1"/>
  <c r="I41" i="3"/>
  <c r="L31" i="10" s="1"/>
  <c r="D6" i="3"/>
  <c r="H41" i="3"/>
  <c r="K31" i="10" s="1"/>
  <c r="K41" i="3"/>
  <c r="N31" i="10" s="1"/>
  <c r="N41" i="3"/>
  <c r="Q31" i="10" s="1"/>
  <c r="L41" i="3"/>
  <c r="O31" i="10" s="1"/>
  <c r="N6" i="3"/>
  <c r="D12" i="3"/>
  <c r="P8" i="3"/>
  <c r="H27" i="3"/>
  <c r="F11" i="3"/>
  <c r="G11" i="3" s="1"/>
  <c r="H11" i="3" s="1"/>
  <c r="I11" i="3" s="1"/>
  <c r="I12" i="3" s="1"/>
  <c r="G28" i="3"/>
  <c r="E27" i="3"/>
  <c r="F8" i="3"/>
  <c r="H11" i="9"/>
  <c r="H9" i="9" s="1"/>
  <c r="E28" i="3"/>
  <c r="F34" i="3"/>
  <c r="I71" i="3" s="1"/>
  <c r="D27" i="3"/>
  <c r="Q6" i="3"/>
  <c r="N8" i="3"/>
  <c r="E6" i="3"/>
  <c r="N46" i="3"/>
  <c r="N72" i="3" s="1"/>
  <c r="F27" i="3"/>
  <c r="N28" i="3"/>
  <c r="M6" i="3"/>
  <c r="F6" i="3"/>
  <c r="G6" i="3"/>
  <c r="F28" i="3"/>
  <c r="P27" i="3"/>
  <c r="R28" i="3"/>
  <c r="G34" i="3"/>
  <c r="G41" i="3" s="1"/>
  <c r="G8" i="3"/>
  <c r="D28" i="3"/>
  <c r="G46" i="3"/>
  <c r="G53" i="3" s="1"/>
  <c r="J34" i="3"/>
  <c r="J41" i="3" s="1"/>
  <c r="G27" i="3"/>
  <c r="D8" i="3"/>
  <c r="D34" i="3"/>
  <c r="D41" i="3" s="1"/>
  <c r="G31" i="10" s="1"/>
  <c r="E8" i="3"/>
  <c r="E34" i="3"/>
  <c r="Q28" i="3"/>
  <c r="P34" i="3"/>
  <c r="P41" i="3" s="1"/>
  <c r="R27" i="3"/>
  <c r="Q46" i="3"/>
  <c r="Q80" i="3" s="1"/>
  <c r="P46" i="3"/>
  <c r="P79" i="3" s="1"/>
  <c r="P6" i="3"/>
  <c r="Q34" i="3"/>
  <c r="O28" i="3"/>
  <c r="Q6" i="8"/>
  <c r="Q8" i="8"/>
  <c r="O15" i="3"/>
  <c r="R8" i="8"/>
  <c r="R6" i="8"/>
  <c r="R15" i="3"/>
  <c r="O6" i="8"/>
  <c r="O8" i="8"/>
  <c r="O46" i="3"/>
  <c r="O6" i="3"/>
  <c r="O8" i="3"/>
  <c r="Q75" i="3"/>
  <c r="P8" i="8"/>
  <c r="P6" i="8"/>
  <c r="D12" i="8"/>
  <c r="D13" i="8" s="1"/>
  <c r="R34" i="3"/>
  <c r="R6" i="3"/>
  <c r="R46" i="3"/>
  <c r="R8" i="3"/>
  <c r="N8" i="8"/>
  <c r="N6" i="8"/>
  <c r="D27" i="8"/>
  <c r="L27" i="8"/>
  <c r="M27" i="8"/>
  <c r="H27" i="8"/>
  <c r="E12" i="3"/>
  <c r="E50" i="3" s="1"/>
  <c r="Q26" i="8"/>
  <c r="Q27" i="8"/>
  <c r="R27" i="8"/>
  <c r="R26" i="8"/>
  <c r="P27" i="8"/>
  <c r="P26" i="8"/>
  <c r="N26" i="8"/>
  <c r="N27" i="8"/>
  <c r="F26" i="8"/>
  <c r="F27" i="8"/>
  <c r="E27" i="8"/>
  <c r="J26" i="8"/>
  <c r="J27" i="8"/>
  <c r="G26" i="8"/>
  <c r="G27" i="8"/>
  <c r="K26" i="8"/>
  <c r="K27" i="8"/>
  <c r="O26" i="8"/>
  <c r="O27" i="8"/>
  <c r="D26" i="8"/>
  <c r="F33" i="8"/>
  <c r="F15" i="8"/>
  <c r="H33" i="8"/>
  <c r="H15" i="8"/>
  <c r="D76" i="8"/>
  <c r="D6" i="8"/>
  <c r="D8" i="8"/>
  <c r="J8" i="8"/>
  <c r="J76" i="8"/>
  <c r="J6" i="8"/>
  <c r="D18" i="3"/>
  <c r="K48" i="3"/>
  <c r="K58" i="3"/>
  <c r="K62" i="3"/>
  <c r="K74" i="3"/>
  <c r="K53" i="3"/>
  <c r="K77" i="3"/>
  <c r="K49" i="3"/>
  <c r="K52" i="3"/>
  <c r="K55" i="3"/>
  <c r="K70" i="3"/>
  <c r="K80" i="3"/>
  <c r="K61" i="3"/>
  <c r="K51" i="3"/>
  <c r="K54" i="3"/>
  <c r="K59" i="3"/>
  <c r="K82" i="3"/>
  <c r="K63" i="3"/>
  <c r="K83" i="3"/>
  <c r="K50" i="3"/>
  <c r="K57" i="3"/>
  <c r="K81" i="3"/>
  <c r="K60" i="3"/>
  <c r="K66" i="3"/>
  <c r="K73" i="3"/>
  <c r="K78" i="3"/>
  <c r="K79" i="3"/>
  <c r="H50" i="3"/>
  <c r="H58" i="3"/>
  <c r="H55" i="3"/>
  <c r="H79" i="3"/>
  <c r="H62" i="3"/>
  <c r="H74" i="3"/>
  <c r="H82" i="3"/>
  <c r="H52" i="3"/>
  <c r="H60" i="3"/>
  <c r="H59" i="3"/>
  <c r="H81" i="3"/>
  <c r="H66" i="3"/>
  <c r="H76" i="3"/>
  <c r="H54" i="3"/>
  <c r="H49" i="3"/>
  <c r="H61" i="3"/>
  <c r="H75" i="3"/>
  <c r="H83" i="3"/>
  <c r="H70" i="3"/>
  <c r="H78" i="3"/>
  <c r="H48" i="3"/>
  <c r="H56" i="3"/>
  <c r="H51" i="3"/>
  <c r="H63" i="3"/>
  <c r="H77" i="3"/>
  <c r="H57" i="3"/>
  <c r="H80" i="3"/>
  <c r="H6" i="8"/>
  <c r="H76" i="8"/>
  <c r="H8" i="8"/>
  <c r="I26" i="8"/>
  <c r="G15" i="8"/>
  <c r="G33" i="8"/>
  <c r="F76" i="8"/>
  <c r="F6" i="8"/>
  <c r="F8" i="8"/>
  <c r="E11" i="8"/>
  <c r="E12" i="8" s="1"/>
  <c r="E6" i="8"/>
  <c r="E8" i="8"/>
  <c r="E76" i="8"/>
  <c r="K76" i="8"/>
  <c r="K6" i="8"/>
  <c r="K8" i="8"/>
  <c r="F55" i="3"/>
  <c r="F50" i="3"/>
  <c r="F66" i="3"/>
  <c r="F76" i="3"/>
  <c r="F52" i="3"/>
  <c r="F63" i="3"/>
  <c r="F77" i="3"/>
  <c r="F49" i="3"/>
  <c r="F57" i="3"/>
  <c r="F56" i="3"/>
  <c r="F70" i="3"/>
  <c r="F78" i="3"/>
  <c r="F54" i="3"/>
  <c r="F79" i="3"/>
  <c r="F59" i="3"/>
  <c r="F60" i="3"/>
  <c r="F72" i="3"/>
  <c r="F80" i="3"/>
  <c r="F58" i="3"/>
  <c r="F73" i="3"/>
  <c r="F81" i="3"/>
  <c r="F53" i="3"/>
  <c r="F48" i="3"/>
  <c r="F62" i="3"/>
  <c r="F74" i="3"/>
  <c r="F82" i="3"/>
  <c r="F61" i="3"/>
  <c r="F75" i="3"/>
  <c r="F83" i="3"/>
  <c r="L26" i="8"/>
  <c r="L15" i="8"/>
  <c r="L33" i="8"/>
  <c r="I8" i="8"/>
  <c r="I6" i="8"/>
  <c r="I76" i="8"/>
  <c r="M26" i="8"/>
  <c r="D33" i="8"/>
  <c r="D15" i="8"/>
  <c r="G76" i="8"/>
  <c r="G8" i="8"/>
  <c r="G6" i="8"/>
  <c r="J33" i="8"/>
  <c r="J15" i="8"/>
  <c r="L76" i="8"/>
  <c r="L6" i="8"/>
  <c r="L8" i="8"/>
  <c r="M48" i="3"/>
  <c r="M50" i="3"/>
  <c r="M53" i="3"/>
  <c r="M60" i="3"/>
  <c r="M77" i="3"/>
  <c r="M56" i="3"/>
  <c r="M82" i="3"/>
  <c r="M52" i="3"/>
  <c r="M55" i="3"/>
  <c r="M54" i="3"/>
  <c r="M79" i="3"/>
  <c r="M62" i="3"/>
  <c r="M74" i="3"/>
  <c r="M49" i="3"/>
  <c r="M57" i="3"/>
  <c r="M61" i="3"/>
  <c r="M73" i="3"/>
  <c r="M81" i="3"/>
  <c r="M66" i="3"/>
  <c r="M76" i="3"/>
  <c r="M51" i="3"/>
  <c r="M59" i="3"/>
  <c r="M63" i="3"/>
  <c r="M83" i="3"/>
  <c r="M70" i="3"/>
  <c r="M80" i="3"/>
  <c r="L50" i="3"/>
  <c r="L58" i="3"/>
  <c r="L63" i="3"/>
  <c r="L51" i="3"/>
  <c r="L66" i="3"/>
  <c r="L76" i="3"/>
  <c r="L60" i="3"/>
  <c r="L52" i="3"/>
  <c r="L49" i="3"/>
  <c r="L79" i="3"/>
  <c r="L55" i="3"/>
  <c r="L70" i="3"/>
  <c r="L78" i="3"/>
  <c r="L54" i="3"/>
  <c r="L53" i="3"/>
  <c r="L81" i="3"/>
  <c r="L59" i="3"/>
  <c r="L80" i="3"/>
  <c r="L48" i="3"/>
  <c r="L56" i="3"/>
  <c r="L61" i="3"/>
  <c r="L73" i="3"/>
  <c r="L83" i="3"/>
  <c r="L62" i="3"/>
  <c r="L74" i="3"/>
  <c r="L82" i="3"/>
  <c r="H26" i="8"/>
  <c r="J57" i="3"/>
  <c r="J54" i="3"/>
  <c r="J70" i="3"/>
  <c r="J78" i="3"/>
  <c r="J60" i="3"/>
  <c r="J81" i="3"/>
  <c r="J49" i="3"/>
  <c r="J59" i="3"/>
  <c r="J58" i="3"/>
  <c r="J80" i="3"/>
  <c r="J61" i="3"/>
  <c r="J73" i="3"/>
  <c r="J83" i="3"/>
  <c r="J51" i="3"/>
  <c r="J48" i="3"/>
  <c r="J62" i="3"/>
  <c r="J74" i="3"/>
  <c r="J82" i="3"/>
  <c r="J63" i="3"/>
  <c r="J77" i="3"/>
  <c r="J52" i="3"/>
  <c r="J53" i="3"/>
  <c r="J50" i="3"/>
  <c r="J66" i="3"/>
  <c r="J76" i="3"/>
  <c r="J56" i="3"/>
  <c r="J79" i="3"/>
  <c r="E49" i="3"/>
  <c r="E57" i="3"/>
  <c r="E58" i="3"/>
  <c r="E73" i="3"/>
  <c r="E81" i="3"/>
  <c r="E62" i="3"/>
  <c r="E76" i="3"/>
  <c r="E48" i="3"/>
  <c r="E51" i="3"/>
  <c r="E59" i="3"/>
  <c r="E63" i="3"/>
  <c r="E75" i="3"/>
  <c r="E83" i="3"/>
  <c r="E66" i="3"/>
  <c r="E78" i="3"/>
  <c r="E53" i="3"/>
  <c r="E61" i="3"/>
  <c r="E77" i="3"/>
  <c r="E56" i="3"/>
  <c r="E72" i="3"/>
  <c r="E80" i="3"/>
  <c r="E52" i="3"/>
  <c r="E55" i="3"/>
  <c r="E54" i="3"/>
  <c r="E71" i="3"/>
  <c r="E79" i="3"/>
  <c r="E60" i="3"/>
  <c r="E74" i="3"/>
  <c r="E82" i="3"/>
  <c r="E33" i="8"/>
  <c r="E15" i="8"/>
  <c r="I15" i="8"/>
  <c r="I33" i="8"/>
  <c r="M15" i="8"/>
  <c r="M33" i="8"/>
  <c r="K33" i="8"/>
  <c r="K15" i="8"/>
  <c r="M6" i="8"/>
  <c r="M76" i="8"/>
  <c r="M8" i="8"/>
  <c r="D13" i="3"/>
  <c r="D31" i="3"/>
  <c r="I48" i="3"/>
  <c r="I51" i="3"/>
  <c r="I59" i="3"/>
  <c r="I63" i="3"/>
  <c r="I75" i="3"/>
  <c r="I49" i="3"/>
  <c r="I57" i="3"/>
  <c r="I61" i="3"/>
  <c r="I73" i="3"/>
  <c r="I81" i="3"/>
  <c r="I66" i="3"/>
  <c r="I78" i="3"/>
  <c r="I55" i="3"/>
  <c r="I58" i="3"/>
  <c r="I76" i="3"/>
  <c r="I50" i="3"/>
  <c r="I56" i="3"/>
  <c r="I77" i="3"/>
  <c r="I62" i="3"/>
  <c r="I80" i="3"/>
  <c r="I52" i="3"/>
  <c r="I60" i="3"/>
  <c r="I79" i="3"/>
  <c r="I70" i="3"/>
  <c r="I82" i="3"/>
  <c r="I53" i="3"/>
  <c r="I83" i="3"/>
  <c r="E26" i="8"/>
  <c r="D50" i="3"/>
  <c r="D58" i="3"/>
  <c r="D53" i="3"/>
  <c r="D71" i="3"/>
  <c r="D79" i="3"/>
  <c r="D55" i="3"/>
  <c r="D70" i="3"/>
  <c r="D78" i="3"/>
  <c r="D52" i="3"/>
  <c r="D60" i="3"/>
  <c r="D57" i="3"/>
  <c r="D73" i="3"/>
  <c r="D81" i="3"/>
  <c r="D59" i="3"/>
  <c r="D72" i="3"/>
  <c r="D80" i="3"/>
  <c r="D54" i="3"/>
  <c r="D49" i="3"/>
  <c r="D63" i="3"/>
  <c r="D75" i="3"/>
  <c r="D83" i="3"/>
  <c r="D62" i="3"/>
  <c r="D74" i="3"/>
  <c r="D82" i="3"/>
  <c r="D48" i="3"/>
  <c r="D56" i="3"/>
  <c r="D51" i="3"/>
  <c r="D77" i="3"/>
  <c r="D61" i="3"/>
  <c r="D66" i="3"/>
  <c r="D76" i="3"/>
  <c r="N57" i="3" l="1"/>
  <c r="N62" i="3"/>
  <c r="F12" i="3"/>
  <c r="F13" i="3" s="1"/>
  <c r="M75" i="3"/>
  <c r="R41" i="3"/>
  <c r="U31" i="10" s="1"/>
  <c r="Q41" i="3"/>
  <c r="T31" i="10" s="1"/>
  <c r="E41" i="3"/>
  <c r="H31" i="10" s="1"/>
  <c r="F41" i="3"/>
  <c r="I31" i="10" s="1"/>
  <c r="N56" i="3"/>
  <c r="N58" i="3"/>
  <c r="I42" i="8"/>
  <c r="N52" i="3"/>
  <c r="N77" i="3"/>
  <c r="N53" i="3"/>
  <c r="N76" i="3"/>
  <c r="N60" i="3"/>
  <c r="N83" i="3"/>
  <c r="N81" i="3"/>
  <c r="N61" i="3"/>
  <c r="N80" i="3"/>
  <c r="N48" i="3"/>
  <c r="N16" i="3" s="1"/>
  <c r="N78" i="3"/>
  <c r="N50" i="3"/>
  <c r="N63" i="3"/>
  <c r="N70" i="3"/>
  <c r="N51" i="3"/>
  <c r="N54" i="3"/>
  <c r="N55" i="3"/>
  <c r="N49" i="3"/>
  <c r="N66" i="3"/>
  <c r="N68" i="3" s="1"/>
  <c r="N35" i="3" s="1"/>
  <c r="N73" i="3"/>
  <c r="N71" i="3"/>
  <c r="N69" i="3"/>
  <c r="N82" i="3"/>
  <c r="N74" i="3"/>
  <c r="N75" i="3"/>
  <c r="M71" i="3"/>
  <c r="J71" i="3"/>
  <c r="K71" i="3"/>
  <c r="H71" i="3"/>
  <c r="L71" i="3"/>
  <c r="M69" i="3"/>
  <c r="K72" i="3"/>
  <c r="J31" i="10"/>
  <c r="J72" i="3"/>
  <c r="L75" i="3"/>
  <c r="M31" i="10"/>
  <c r="G55" i="3"/>
  <c r="G61" i="3"/>
  <c r="K68" i="3"/>
  <c r="G48" i="3"/>
  <c r="G16" i="3" s="1"/>
  <c r="G54" i="3"/>
  <c r="G71" i="3"/>
  <c r="G74" i="3"/>
  <c r="F68" i="3"/>
  <c r="F35" i="3" s="1"/>
  <c r="G60" i="3"/>
  <c r="G79" i="3"/>
  <c r="I72" i="3"/>
  <c r="L68" i="3"/>
  <c r="L35" i="3" s="1"/>
  <c r="M72" i="3"/>
  <c r="K75" i="3"/>
  <c r="L72" i="3"/>
  <c r="H72" i="3"/>
  <c r="D28" i="9"/>
  <c r="D10" i="11" s="1"/>
  <c r="D68" i="3"/>
  <c r="J68" i="3"/>
  <c r="J35" i="3" s="1"/>
  <c r="F69" i="3"/>
  <c r="H69" i="3"/>
  <c r="K69" i="3"/>
  <c r="G59" i="3"/>
  <c r="G50" i="3"/>
  <c r="G76" i="3"/>
  <c r="G83" i="3"/>
  <c r="G57" i="3"/>
  <c r="G75" i="3"/>
  <c r="G80" i="3"/>
  <c r="G49" i="3"/>
  <c r="I69" i="3"/>
  <c r="J69" i="3"/>
  <c r="M68" i="3"/>
  <c r="M35" i="3" s="1"/>
  <c r="G78" i="3"/>
  <c r="G77" i="3"/>
  <c r="G62" i="3"/>
  <c r="G63" i="3"/>
  <c r="G56" i="3"/>
  <c r="G81" i="3"/>
  <c r="G70" i="3"/>
  <c r="I68" i="3"/>
  <c r="I35" i="3" s="1"/>
  <c r="E69" i="3"/>
  <c r="L69" i="3"/>
  <c r="H68" i="3"/>
  <c r="H35" i="3" s="1"/>
  <c r="G66" i="3"/>
  <c r="G68" i="3" s="1"/>
  <c r="G35" i="3" s="1"/>
  <c r="G69" i="3"/>
  <c r="G58" i="3"/>
  <c r="G82" i="3"/>
  <c r="G51" i="3"/>
  <c r="G73" i="3"/>
  <c r="G12" i="3"/>
  <c r="G52" i="3" s="1"/>
  <c r="J11" i="3"/>
  <c r="K11" i="3" s="1"/>
  <c r="H12" i="3"/>
  <c r="H53" i="3" s="1"/>
  <c r="H47" i="3" s="1"/>
  <c r="H20" i="3" s="1"/>
  <c r="Q73" i="3"/>
  <c r="P59" i="3"/>
  <c r="P78" i="3"/>
  <c r="P54" i="3"/>
  <c r="P52" i="3"/>
  <c r="D29" i="9"/>
  <c r="D11" i="11" s="1"/>
  <c r="P83" i="3"/>
  <c r="P49" i="3"/>
  <c r="P57" i="3"/>
  <c r="Q52" i="3"/>
  <c r="Q51" i="3"/>
  <c r="Q60" i="3"/>
  <c r="Q48" i="3"/>
  <c r="Q16" i="3" s="1"/>
  <c r="Q74" i="3"/>
  <c r="Q66" i="3"/>
  <c r="Q56" i="3"/>
  <c r="Q59" i="3"/>
  <c r="Q81" i="3"/>
  <c r="Q72" i="3"/>
  <c r="Q83" i="3"/>
  <c r="Q70" i="3"/>
  <c r="Q58" i="3"/>
  <c r="Q49" i="3"/>
  <c r="Q76" i="3"/>
  <c r="Q54" i="3"/>
  <c r="Q78" i="3"/>
  <c r="Q50" i="3"/>
  <c r="Q63" i="3"/>
  <c r="Q61" i="3"/>
  <c r="Q77" i="3"/>
  <c r="Q53" i="3"/>
  <c r="Q69" i="3"/>
  <c r="Q79" i="3"/>
  <c r="Q57" i="3"/>
  <c r="Q71" i="3"/>
  <c r="Q55" i="3"/>
  <c r="P71" i="3"/>
  <c r="P48" i="3"/>
  <c r="P16" i="3" s="1"/>
  <c r="P74" i="3"/>
  <c r="P69" i="3"/>
  <c r="P56" i="3"/>
  <c r="P72" i="3"/>
  <c r="P55" i="3"/>
  <c r="P80" i="3"/>
  <c r="P82" i="3"/>
  <c r="P53" i="3"/>
  <c r="P58" i="3"/>
  <c r="P70" i="3"/>
  <c r="P50" i="3"/>
  <c r="P76" i="3"/>
  <c r="P66" i="3"/>
  <c r="P68" i="3" s="1"/>
  <c r="P35" i="3" s="1"/>
  <c r="P62" i="3"/>
  <c r="P63" i="3"/>
  <c r="P75" i="3"/>
  <c r="P51" i="3"/>
  <c r="P73" i="3"/>
  <c r="P77" i="3"/>
  <c r="D30" i="8"/>
  <c r="D99" i="8" s="1"/>
  <c r="E13" i="3"/>
  <c r="P60" i="3"/>
  <c r="N88" i="8"/>
  <c r="P88" i="8"/>
  <c r="Q88" i="8"/>
  <c r="R88" i="8"/>
  <c r="O88" i="8"/>
  <c r="N100" i="8"/>
  <c r="Q100" i="8"/>
  <c r="R100" i="8"/>
  <c r="O100" i="8"/>
  <c r="P100" i="8"/>
  <c r="N105" i="8"/>
  <c r="Q105" i="8"/>
  <c r="R105" i="8"/>
  <c r="O105" i="8"/>
  <c r="P105" i="8"/>
  <c r="O78" i="8"/>
  <c r="O16" i="8" s="1"/>
  <c r="P79" i="8"/>
  <c r="O79" i="8"/>
  <c r="P78" i="8"/>
  <c r="Q79" i="8"/>
  <c r="Q78" i="8"/>
  <c r="R78" i="8"/>
  <c r="R16" i="8" s="1"/>
  <c r="N102" i="8"/>
  <c r="R102" i="8"/>
  <c r="P102" i="8"/>
  <c r="O102" i="8"/>
  <c r="Q102" i="8"/>
  <c r="N83" i="8"/>
  <c r="O83" i="8"/>
  <c r="Q83" i="8"/>
  <c r="R83" i="8"/>
  <c r="P83" i="8"/>
  <c r="O73" i="3"/>
  <c r="O83" i="3"/>
  <c r="O51" i="3"/>
  <c r="O69" i="3"/>
  <c r="O50" i="3"/>
  <c r="O59" i="3"/>
  <c r="O52" i="3"/>
  <c r="O75" i="3"/>
  <c r="O49" i="3"/>
  <c r="O74" i="3"/>
  <c r="O66" i="3"/>
  <c r="O71" i="3"/>
  <c r="O57" i="3"/>
  <c r="O55" i="3"/>
  <c r="O62" i="3"/>
  <c r="O58" i="3"/>
  <c r="O78" i="3"/>
  <c r="O72" i="3"/>
  <c r="O81" i="3"/>
  <c r="O53" i="3"/>
  <c r="O82" i="3"/>
  <c r="O77" i="3"/>
  <c r="O63" i="3"/>
  <c r="O79" i="3"/>
  <c r="O61" i="3"/>
  <c r="O54" i="3"/>
  <c r="O76" i="3"/>
  <c r="O48" i="3"/>
  <c r="O16" i="3" s="1"/>
  <c r="O70" i="3"/>
  <c r="O56" i="3"/>
  <c r="N86" i="8"/>
  <c r="R86" i="8"/>
  <c r="O86" i="8"/>
  <c r="P86" i="8"/>
  <c r="Q86" i="8"/>
  <c r="N104" i="8"/>
  <c r="O104" i="8"/>
  <c r="P104" i="8"/>
  <c r="Q104" i="8"/>
  <c r="R104" i="8"/>
  <c r="P99" i="8"/>
  <c r="O99" i="8"/>
  <c r="Q99" i="8"/>
  <c r="O98" i="8"/>
  <c r="P98" i="8"/>
  <c r="Q98" i="8"/>
  <c r="R98" i="8"/>
  <c r="N82" i="8"/>
  <c r="R82" i="8"/>
  <c r="Q82" i="8"/>
  <c r="O82" i="8"/>
  <c r="P82" i="8"/>
  <c r="N103" i="8"/>
  <c r="P103" i="8"/>
  <c r="R103" i="8"/>
  <c r="O103" i="8"/>
  <c r="Q103" i="8"/>
  <c r="J42" i="8"/>
  <c r="R60" i="3"/>
  <c r="R62" i="3"/>
  <c r="R55" i="3"/>
  <c r="R74" i="3"/>
  <c r="R57" i="3"/>
  <c r="R81" i="3"/>
  <c r="R53" i="3"/>
  <c r="R54" i="3"/>
  <c r="R61" i="3"/>
  <c r="R51" i="3"/>
  <c r="R77" i="3"/>
  <c r="R48" i="3"/>
  <c r="R16" i="3" s="1"/>
  <c r="R78" i="3"/>
  <c r="R56" i="3"/>
  <c r="R80" i="3"/>
  <c r="R71" i="3"/>
  <c r="R52" i="3"/>
  <c r="R72" i="3"/>
  <c r="R82" i="3"/>
  <c r="R75" i="3"/>
  <c r="R58" i="3"/>
  <c r="R49" i="3"/>
  <c r="R69" i="3"/>
  <c r="R50" i="3"/>
  <c r="R66" i="3"/>
  <c r="R79" i="3"/>
  <c r="R59" i="3"/>
  <c r="R70" i="3"/>
  <c r="R76" i="3"/>
  <c r="R73" i="3"/>
  <c r="N106" i="8"/>
  <c r="P106" i="8"/>
  <c r="O106" i="8"/>
  <c r="Q106" i="8"/>
  <c r="R106" i="8"/>
  <c r="N84" i="8"/>
  <c r="Q84" i="8"/>
  <c r="R84" i="8"/>
  <c r="O84" i="8"/>
  <c r="P84" i="8"/>
  <c r="N107" i="8"/>
  <c r="P107" i="8"/>
  <c r="O107" i="8"/>
  <c r="Q107" i="8"/>
  <c r="R107" i="8"/>
  <c r="N81" i="8"/>
  <c r="O81" i="8"/>
  <c r="P81" i="8"/>
  <c r="R81" i="8"/>
  <c r="Q81" i="8"/>
  <c r="N108" i="8"/>
  <c r="R108" i="8"/>
  <c r="O108" i="8"/>
  <c r="P108" i="8"/>
  <c r="Q108" i="8"/>
  <c r="N80" i="8"/>
  <c r="P80" i="8"/>
  <c r="O80" i="8"/>
  <c r="Q80" i="8"/>
  <c r="R80" i="8"/>
  <c r="N85" i="8"/>
  <c r="Q85" i="8"/>
  <c r="P85" i="8"/>
  <c r="R85" i="8"/>
  <c r="O85" i="8"/>
  <c r="N87" i="8"/>
  <c r="P87" i="8"/>
  <c r="Q87" i="8"/>
  <c r="R87" i="8"/>
  <c r="O87" i="8"/>
  <c r="N101" i="8"/>
  <c r="R101" i="8"/>
  <c r="O101" i="8"/>
  <c r="P101" i="8"/>
  <c r="Q101" i="8"/>
  <c r="R79" i="8"/>
  <c r="Q68" i="3"/>
  <c r="Q35" i="3" s="1"/>
  <c r="N79" i="8"/>
  <c r="N78" i="8"/>
  <c r="N16" i="8" s="1"/>
  <c r="N99" i="8"/>
  <c r="N98" i="8"/>
  <c r="E31" i="3"/>
  <c r="E70" i="3" s="1"/>
  <c r="D35" i="3"/>
  <c r="D36" i="3" s="1"/>
  <c r="D21" i="3"/>
  <c r="D16" i="3"/>
  <c r="D17" i="3" s="1"/>
  <c r="L16" i="3"/>
  <c r="H16" i="3"/>
  <c r="M16" i="3"/>
  <c r="K16" i="3"/>
  <c r="E21" i="3"/>
  <c r="E16" i="3"/>
  <c r="I21" i="3"/>
  <c r="I16" i="3"/>
  <c r="J16" i="3"/>
  <c r="F16" i="3"/>
  <c r="K35" i="3"/>
  <c r="R99" i="8"/>
  <c r="F11" i="8"/>
  <c r="D47" i="3"/>
  <c r="D20" i="3" s="1"/>
  <c r="I54" i="3"/>
  <c r="I47" i="3" s="1"/>
  <c r="I20" i="3" s="1"/>
  <c r="E47" i="3"/>
  <c r="E20" i="3" s="1"/>
  <c r="D69" i="3"/>
  <c r="M89" i="8"/>
  <c r="M91" i="8"/>
  <c r="M112" i="8"/>
  <c r="M93" i="8"/>
  <c r="M100" i="8"/>
  <c r="M101" i="8"/>
  <c r="M81" i="8"/>
  <c r="M106" i="8"/>
  <c r="M96" i="8"/>
  <c r="M98" i="8" s="1"/>
  <c r="M34" i="8" s="1"/>
  <c r="M113" i="8"/>
  <c r="M105" i="8"/>
  <c r="M82" i="8"/>
  <c r="M83" i="8"/>
  <c r="M107" i="8"/>
  <c r="M102" i="8"/>
  <c r="M109" i="8"/>
  <c r="M111" i="8"/>
  <c r="M92" i="8"/>
  <c r="M86" i="8"/>
  <c r="M99" i="8"/>
  <c r="M78" i="8"/>
  <c r="M16" i="8" s="1"/>
  <c r="M80" i="8"/>
  <c r="M104" i="8"/>
  <c r="M90" i="8"/>
  <c r="M110" i="8"/>
  <c r="M84" i="8"/>
  <c r="M79" i="8"/>
  <c r="M103" i="8"/>
  <c r="E68" i="3"/>
  <c r="G107" i="8"/>
  <c r="G88" i="8"/>
  <c r="G81" i="8"/>
  <c r="G104" i="8"/>
  <c r="G109" i="8"/>
  <c r="G83" i="8"/>
  <c r="G112" i="8"/>
  <c r="G96" i="8"/>
  <c r="G98" i="8" s="1"/>
  <c r="G34" i="8" s="1"/>
  <c r="G78" i="8"/>
  <c r="G16" i="8" s="1"/>
  <c r="G84" i="8"/>
  <c r="G111" i="8"/>
  <c r="G105" i="8"/>
  <c r="G100" i="8"/>
  <c r="G90" i="8"/>
  <c r="G79" i="8"/>
  <c r="G86" i="8"/>
  <c r="G99" i="8"/>
  <c r="G101" i="8"/>
  <c r="G93" i="8"/>
  <c r="G91" i="8"/>
  <c r="G80" i="8"/>
  <c r="G110" i="8"/>
  <c r="G108" i="8"/>
  <c r="G92" i="8"/>
  <c r="G89" i="8"/>
  <c r="G87" i="8"/>
  <c r="G113" i="8"/>
  <c r="G106" i="8"/>
  <c r="G85" i="8"/>
  <c r="G103" i="8"/>
  <c r="M87" i="8"/>
  <c r="K101" i="8"/>
  <c r="K88" i="8"/>
  <c r="K109" i="8"/>
  <c r="K112" i="8"/>
  <c r="K104" i="8"/>
  <c r="K102" i="8"/>
  <c r="K100" i="8"/>
  <c r="K79" i="8"/>
  <c r="K84" i="8"/>
  <c r="K89" i="8"/>
  <c r="K90" i="8"/>
  <c r="K111" i="8"/>
  <c r="K96" i="8"/>
  <c r="K98" i="8" s="1"/>
  <c r="K34" i="8" s="1"/>
  <c r="K85" i="8"/>
  <c r="K83" i="8"/>
  <c r="K108" i="8"/>
  <c r="K93" i="8"/>
  <c r="K87" i="8"/>
  <c r="K80" i="8"/>
  <c r="K92" i="8"/>
  <c r="K99" i="8"/>
  <c r="K103" i="8"/>
  <c r="K82" i="8"/>
  <c r="K113" i="8"/>
  <c r="K107" i="8"/>
  <c r="K110" i="8"/>
  <c r="K105" i="8"/>
  <c r="K91" i="8"/>
  <c r="K81" i="8"/>
  <c r="K78" i="8"/>
  <c r="K16" i="8" s="1"/>
  <c r="L92" i="8"/>
  <c r="L86" i="8"/>
  <c r="L109" i="8"/>
  <c r="L110" i="8"/>
  <c r="L111" i="8"/>
  <c r="L112" i="8"/>
  <c r="L113" i="8"/>
  <c r="L78" i="8"/>
  <c r="L16" i="8" s="1"/>
  <c r="L79" i="8"/>
  <c r="L83" i="8"/>
  <c r="L103" i="8"/>
  <c r="L84" i="8"/>
  <c r="L80" i="8"/>
  <c r="L90" i="8"/>
  <c r="L82" i="8"/>
  <c r="L106" i="8"/>
  <c r="L81" i="8"/>
  <c r="L85" i="8"/>
  <c r="L88" i="8"/>
  <c r="L100" i="8"/>
  <c r="L89" i="8"/>
  <c r="L91" i="8"/>
  <c r="L93" i="8"/>
  <c r="L104" i="8"/>
  <c r="L105" i="8"/>
  <c r="L108" i="8"/>
  <c r="L101" i="8"/>
  <c r="L96" i="8"/>
  <c r="L98" i="8" s="1"/>
  <c r="L34" i="8" s="1"/>
  <c r="L99" i="8"/>
  <c r="L102" i="8"/>
  <c r="E13" i="8"/>
  <c r="E30" i="8"/>
  <c r="E100" i="8" s="1"/>
  <c r="F106" i="8"/>
  <c r="F83" i="8"/>
  <c r="F84" i="8"/>
  <c r="F89" i="8"/>
  <c r="F113" i="8"/>
  <c r="F104" i="8"/>
  <c r="F105" i="8"/>
  <c r="F111" i="8"/>
  <c r="F80" i="8"/>
  <c r="F108" i="8"/>
  <c r="F88" i="8"/>
  <c r="F109" i="8"/>
  <c r="F82" i="8"/>
  <c r="F91" i="8"/>
  <c r="F78" i="8"/>
  <c r="F16" i="8" s="1"/>
  <c r="F85" i="8"/>
  <c r="F96" i="8"/>
  <c r="F98" i="8" s="1"/>
  <c r="F34" i="8" s="1"/>
  <c r="F112" i="8"/>
  <c r="F86" i="8"/>
  <c r="F100" i="8"/>
  <c r="F92" i="8"/>
  <c r="F110" i="8"/>
  <c r="F79" i="8"/>
  <c r="F102" i="8"/>
  <c r="F90" i="8"/>
  <c r="F107" i="8"/>
  <c r="F93" i="8"/>
  <c r="F87" i="8"/>
  <c r="F103" i="8"/>
  <c r="F99" i="8"/>
  <c r="M85" i="8"/>
  <c r="I85" i="8"/>
  <c r="I109" i="8"/>
  <c r="I96" i="8"/>
  <c r="I98" i="8" s="1"/>
  <c r="I34" i="8" s="1"/>
  <c r="I88" i="8"/>
  <c r="I106" i="8"/>
  <c r="I111" i="8"/>
  <c r="I83" i="8"/>
  <c r="I79" i="8"/>
  <c r="I92" i="8"/>
  <c r="I113" i="8"/>
  <c r="I80" i="8"/>
  <c r="I90" i="8"/>
  <c r="I112" i="8"/>
  <c r="I100" i="8"/>
  <c r="I101" i="8"/>
  <c r="I87" i="8"/>
  <c r="I108" i="8"/>
  <c r="I107" i="8"/>
  <c r="I99" i="8"/>
  <c r="I102" i="8"/>
  <c r="I86" i="8"/>
  <c r="I105" i="8"/>
  <c r="I78" i="8"/>
  <c r="I16" i="8" s="1"/>
  <c r="I110" i="8"/>
  <c r="I89" i="8"/>
  <c r="I82" i="8"/>
  <c r="I103" i="8"/>
  <c r="I91" i="8"/>
  <c r="I93" i="8"/>
  <c r="I81" i="8"/>
  <c r="E104" i="8"/>
  <c r="E107" i="8"/>
  <c r="E89" i="8"/>
  <c r="E102" i="8"/>
  <c r="E82" i="8"/>
  <c r="E109" i="8"/>
  <c r="E81" i="8"/>
  <c r="E99" i="8"/>
  <c r="E91" i="8"/>
  <c r="E108" i="8"/>
  <c r="E86" i="8"/>
  <c r="E93" i="8"/>
  <c r="E105" i="8"/>
  <c r="E87" i="8"/>
  <c r="E112" i="8"/>
  <c r="E78" i="8"/>
  <c r="E16" i="8" s="1"/>
  <c r="E106" i="8"/>
  <c r="E90" i="8"/>
  <c r="E85" i="8"/>
  <c r="E80" i="8"/>
  <c r="E113" i="8"/>
  <c r="E101" i="8"/>
  <c r="E92" i="8"/>
  <c r="E79" i="8"/>
  <c r="E83" i="8"/>
  <c r="E84" i="8"/>
  <c r="E103" i="8"/>
  <c r="E110" i="8"/>
  <c r="E96" i="8"/>
  <c r="E98" i="8" s="1"/>
  <c r="E34" i="8" s="1"/>
  <c r="E88" i="8"/>
  <c r="E111" i="8"/>
  <c r="H102" i="8"/>
  <c r="H91" i="8"/>
  <c r="H105" i="8"/>
  <c r="H93" i="8"/>
  <c r="H79" i="8"/>
  <c r="H104" i="8"/>
  <c r="H81" i="8"/>
  <c r="H108" i="8"/>
  <c r="H84" i="8"/>
  <c r="H101" i="8"/>
  <c r="H88" i="8"/>
  <c r="H96" i="8"/>
  <c r="H98" i="8" s="1"/>
  <c r="H34" i="8" s="1"/>
  <c r="H85" i="8"/>
  <c r="H99" i="8"/>
  <c r="H89" i="8"/>
  <c r="H112" i="8"/>
  <c r="H86" i="8"/>
  <c r="H87" i="8"/>
  <c r="H90" i="8"/>
  <c r="H92" i="8"/>
  <c r="H109" i="8"/>
  <c r="H111" i="8"/>
  <c r="H113" i="8"/>
  <c r="H78" i="8"/>
  <c r="H16" i="8" s="1"/>
  <c r="H100" i="8"/>
  <c r="H106" i="8"/>
  <c r="H80" i="8"/>
  <c r="H82" i="8"/>
  <c r="H107" i="8"/>
  <c r="H110" i="8"/>
  <c r="G31" i="3"/>
  <c r="J88" i="8"/>
  <c r="J106" i="8"/>
  <c r="J86" i="8"/>
  <c r="J109" i="8"/>
  <c r="J102" i="8"/>
  <c r="J113" i="8"/>
  <c r="J104" i="8"/>
  <c r="J90" i="8"/>
  <c r="J112" i="8"/>
  <c r="J81" i="8"/>
  <c r="J108" i="8"/>
  <c r="J92" i="8"/>
  <c r="J91" i="8"/>
  <c r="J84" i="8"/>
  <c r="J107" i="8"/>
  <c r="J79" i="8"/>
  <c r="J99" i="8"/>
  <c r="J100" i="8"/>
  <c r="J93" i="8"/>
  <c r="J87" i="8"/>
  <c r="J111" i="8"/>
  <c r="J101" i="8"/>
  <c r="J78" i="8"/>
  <c r="J16" i="8" s="1"/>
  <c r="J103" i="8"/>
  <c r="J82" i="8"/>
  <c r="J89" i="8"/>
  <c r="J110" i="8"/>
  <c r="J96" i="8"/>
  <c r="J98" i="8" s="1"/>
  <c r="J34" i="8" s="1"/>
  <c r="J80" i="8"/>
  <c r="J83" i="8"/>
  <c r="D109" i="8"/>
  <c r="D107" i="8"/>
  <c r="D88" i="8"/>
  <c r="D83" i="8"/>
  <c r="D85" i="8"/>
  <c r="D105" i="8"/>
  <c r="D103" i="8"/>
  <c r="D101" i="8"/>
  <c r="D84" i="8"/>
  <c r="D108" i="8"/>
  <c r="D86" i="8"/>
  <c r="D96" i="8"/>
  <c r="D98" i="8" s="1"/>
  <c r="D100" i="8"/>
  <c r="D81" i="8"/>
  <c r="D82" i="8"/>
  <c r="D104" i="8"/>
  <c r="D80" i="8"/>
  <c r="D92" i="8"/>
  <c r="D93" i="8"/>
  <c r="D113" i="8"/>
  <c r="D112" i="8"/>
  <c r="D106" i="8"/>
  <c r="D78" i="8"/>
  <c r="D16" i="8" s="1"/>
  <c r="D17" i="8" s="1"/>
  <c r="D90" i="8"/>
  <c r="D91" i="8"/>
  <c r="D111" i="8"/>
  <c r="D110" i="8"/>
  <c r="D102" i="8"/>
  <c r="D87" i="8"/>
  <c r="D89" i="8"/>
  <c r="D79" i="8"/>
  <c r="I31" i="3"/>
  <c r="I13" i="3"/>
  <c r="G13" i="3" l="1"/>
  <c r="F51" i="3"/>
  <c r="F47" i="3" s="1"/>
  <c r="F20" i="3" s="1"/>
  <c r="F21" i="3"/>
  <c r="F31" i="3"/>
  <c r="F32" i="3" s="1"/>
  <c r="D39" i="3"/>
  <c r="F31" i="10"/>
  <c r="J12" i="3"/>
  <c r="J21" i="3" s="1"/>
  <c r="H31" i="3"/>
  <c r="H39" i="3" s="1"/>
  <c r="G21" i="3"/>
  <c r="D32" i="3"/>
  <c r="G47" i="3"/>
  <c r="G20" i="3" s="1"/>
  <c r="I32" i="3"/>
  <c r="H13" i="3"/>
  <c r="H21" i="3"/>
  <c r="G39" i="3"/>
  <c r="D67" i="3"/>
  <c r="D38" i="3" s="1"/>
  <c r="D31" i="8"/>
  <c r="Q33" i="3"/>
  <c r="R17" i="3"/>
  <c r="R34" i="8"/>
  <c r="O17" i="3"/>
  <c r="P16" i="8"/>
  <c r="P17" i="8" s="1"/>
  <c r="P17" i="3"/>
  <c r="R68" i="3"/>
  <c r="R35" i="3" s="1"/>
  <c r="Q34" i="8"/>
  <c r="Q17" i="3"/>
  <c r="P34" i="8"/>
  <c r="Q16" i="8"/>
  <c r="Q17" i="8" s="1"/>
  <c r="P33" i="3"/>
  <c r="O34" i="8"/>
  <c r="O68" i="3"/>
  <c r="O35" i="3" s="1"/>
  <c r="O17" i="8"/>
  <c r="N17" i="3"/>
  <c r="N17" i="8"/>
  <c r="N34" i="8"/>
  <c r="G17" i="3"/>
  <c r="D23" i="3"/>
  <c r="D24" i="3" s="1"/>
  <c r="E17" i="3"/>
  <c r="E23" i="3" s="1"/>
  <c r="E24" i="3" s="1"/>
  <c r="H17" i="3"/>
  <c r="H23" i="3" s="1"/>
  <c r="H24" i="3" s="1"/>
  <c r="J17" i="3"/>
  <c r="F17" i="3"/>
  <c r="I17" i="3"/>
  <c r="I23" i="3" s="1"/>
  <c r="I24" i="3" s="1"/>
  <c r="K17" i="3"/>
  <c r="L17" i="3"/>
  <c r="M17" i="3"/>
  <c r="G32" i="3"/>
  <c r="I39" i="3"/>
  <c r="E39" i="3"/>
  <c r="E35" i="3"/>
  <c r="N36" i="3" s="1"/>
  <c r="E32" i="3"/>
  <c r="D34" i="8"/>
  <c r="D35" i="8" s="1"/>
  <c r="D20" i="8"/>
  <c r="E31" i="8"/>
  <c r="E20" i="8"/>
  <c r="D38" i="8"/>
  <c r="E38" i="8"/>
  <c r="E97" i="8"/>
  <c r="E37" i="8" s="1"/>
  <c r="D97" i="8"/>
  <c r="D37" i="8" s="1"/>
  <c r="F17" i="8"/>
  <c r="E67" i="3"/>
  <c r="E38" i="3" s="1"/>
  <c r="E17" i="8"/>
  <c r="D77" i="8"/>
  <c r="D19" i="8" s="1"/>
  <c r="D22" i="8" s="1"/>
  <c r="D23" i="8" s="1"/>
  <c r="E77" i="8"/>
  <c r="E19" i="8" s="1"/>
  <c r="G17" i="8"/>
  <c r="K17" i="8"/>
  <c r="F12" i="8"/>
  <c r="F20" i="8" s="1"/>
  <c r="G11" i="8"/>
  <c r="L17" i="8"/>
  <c r="M17" i="8"/>
  <c r="J17" i="8"/>
  <c r="H17" i="8"/>
  <c r="I17" i="8"/>
  <c r="L11" i="3"/>
  <c r="K12" i="3"/>
  <c r="K21" i="3" s="1"/>
  <c r="I74" i="3"/>
  <c r="G72" i="3"/>
  <c r="J13" i="3"/>
  <c r="H73" i="3" l="1"/>
  <c r="F23" i="3"/>
  <c r="F24" i="3" s="1"/>
  <c r="F71" i="3"/>
  <c r="F67" i="3" s="1"/>
  <c r="F38" i="3" s="1"/>
  <c r="F39" i="3"/>
  <c r="J31" i="3"/>
  <c r="J55" i="3"/>
  <c r="J47" i="3" s="1"/>
  <c r="J20" i="3" s="1"/>
  <c r="J23" i="3" s="1"/>
  <c r="J24" i="3" s="1"/>
  <c r="H32" i="3"/>
  <c r="F38" i="10"/>
  <c r="F52" i="10"/>
  <c r="F39" i="10"/>
  <c r="F43" i="10" s="1"/>
  <c r="G23" i="3"/>
  <c r="G24" i="3" s="1"/>
  <c r="I67" i="3"/>
  <c r="I38" i="3" s="1"/>
  <c r="H67" i="3"/>
  <c r="H38" i="3" s="1"/>
  <c r="G67" i="3"/>
  <c r="G38" i="3" s="1"/>
  <c r="F35" i="8"/>
  <c r="J35" i="8"/>
  <c r="I35" i="8"/>
  <c r="O32" i="8"/>
  <c r="O35" i="8"/>
  <c r="P32" i="8"/>
  <c r="P35" i="8"/>
  <c r="R17" i="8"/>
  <c r="Q36" i="3"/>
  <c r="E42" i="8"/>
  <c r="O36" i="3"/>
  <c r="O33" i="3"/>
  <c r="P36" i="3"/>
  <c r="Q35" i="8"/>
  <c r="Q32" i="8"/>
  <c r="R33" i="3"/>
  <c r="R36" i="3"/>
  <c r="R35" i="8"/>
  <c r="R32" i="8"/>
  <c r="N35" i="8"/>
  <c r="D22" i="9"/>
  <c r="J39" i="3"/>
  <c r="J32" i="3"/>
  <c r="H36" i="3"/>
  <c r="K36" i="3"/>
  <c r="F36" i="3"/>
  <c r="E36" i="3"/>
  <c r="M36" i="3"/>
  <c r="D26" i="9" s="1"/>
  <c r="G36" i="3"/>
  <c r="I36" i="3"/>
  <c r="L36" i="3"/>
  <c r="J36" i="3"/>
  <c r="K35" i="8"/>
  <c r="H35" i="8"/>
  <c r="M35" i="8"/>
  <c r="H42" i="8" s="1"/>
  <c r="E35" i="8"/>
  <c r="G35" i="8"/>
  <c r="L35" i="8"/>
  <c r="E22" i="8"/>
  <c r="E23" i="8" s="1"/>
  <c r="G12" i="8"/>
  <c r="G20" i="8" s="1"/>
  <c r="H11" i="8"/>
  <c r="F13" i="8"/>
  <c r="F81" i="8"/>
  <c r="F77" i="8" s="1"/>
  <c r="F19" i="8" s="1"/>
  <c r="F22" i="8" s="1"/>
  <c r="F23" i="8" s="1"/>
  <c r="F30" i="8"/>
  <c r="K13" i="3"/>
  <c r="K31" i="3"/>
  <c r="K56" i="3"/>
  <c r="K47" i="3" s="1"/>
  <c r="K20" i="3" s="1"/>
  <c r="K23" i="3" s="1"/>
  <c r="K24" i="3" s="1"/>
  <c r="M11" i="3"/>
  <c r="L12" i="3"/>
  <c r="L21" i="3" s="1"/>
  <c r="J75" i="3"/>
  <c r="F24" i="10" l="1"/>
  <c r="F17" i="10"/>
  <c r="F53" i="10"/>
  <c r="F44" i="10"/>
  <c r="F40" i="10"/>
  <c r="G36" i="10" s="1"/>
  <c r="G38" i="10" s="1"/>
  <c r="F41" i="10"/>
  <c r="J67" i="3"/>
  <c r="J38" i="3" s="1"/>
  <c r="M12" i="3"/>
  <c r="N11" i="3"/>
  <c r="K32" i="3"/>
  <c r="K39" i="3"/>
  <c r="F31" i="8"/>
  <c r="F38" i="8"/>
  <c r="G13" i="8"/>
  <c r="G30" i="8"/>
  <c r="G82" i="8"/>
  <c r="G77" i="8" s="1"/>
  <c r="G19" i="8" s="1"/>
  <c r="G22" i="8" s="1"/>
  <c r="G23" i="8" s="1"/>
  <c r="F101" i="8"/>
  <c r="I11" i="8"/>
  <c r="H12" i="8"/>
  <c r="H20" i="8" s="1"/>
  <c r="L31" i="3"/>
  <c r="L13" i="3"/>
  <c r="L57" i="3"/>
  <c r="L47" i="3" s="1"/>
  <c r="L20" i="3" s="1"/>
  <c r="L23" i="3" s="1"/>
  <c r="L24" i="3" s="1"/>
  <c r="K76" i="3"/>
  <c r="G24" i="10" l="1"/>
  <c r="G17" i="10"/>
  <c r="F45" i="10"/>
  <c r="F65" i="10"/>
  <c r="G42" i="10"/>
  <c r="G37" i="10"/>
  <c r="G39" i="10" s="1"/>
  <c r="G43" i="10" s="1"/>
  <c r="K67" i="3"/>
  <c r="K38" i="3" s="1"/>
  <c r="M21" i="3"/>
  <c r="M58" i="3"/>
  <c r="M47" i="3" s="1"/>
  <c r="M20" i="3" s="1"/>
  <c r="M18" i="3"/>
  <c r="M31" i="3"/>
  <c r="M13" i="3"/>
  <c r="N12" i="3"/>
  <c r="N31" i="3" s="1"/>
  <c r="O11" i="3"/>
  <c r="L39" i="3"/>
  <c r="L32" i="3"/>
  <c r="G31" i="8"/>
  <c r="G38" i="8"/>
  <c r="F97" i="8"/>
  <c r="F37" i="8" s="1"/>
  <c r="I12" i="8"/>
  <c r="I20" i="8" s="1"/>
  <c r="J11" i="8"/>
  <c r="H30" i="8"/>
  <c r="H83" i="8"/>
  <c r="H77" i="8" s="1"/>
  <c r="H19" i="8" s="1"/>
  <c r="H22" i="8" s="1"/>
  <c r="H23" i="8" s="1"/>
  <c r="H13" i="8"/>
  <c r="G102" i="8"/>
  <c r="L77" i="3"/>
  <c r="M39" i="3" l="1"/>
  <c r="M41" i="3"/>
  <c r="G53" i="10"/>
  <c r="F72" i="10"/>
  <c r="F66" i="10"/>
  <c r="F67" i="10"/>
  <c r="F46" i="10"/>
  <c r="F54" i="10" s="1"/>
  <c r="F58" i="10" s="1"/>
  <c r="G44" i="10"/>
  <c r="G40" i="10"/>
  <c r="H36" i="10" s="1"/>
  <c r="H38" i="10" s="1"/>
  <c r="G41" i="10"/>
  <c r="M78" i="3"/>
  <c r="M67" i="3" s="1"/>
  <c r="M38" i="3" s="1"/>
  <c r="N59" i="3"/>
  <c r="N47" i="3" s="1"/>
  <c r="N20" i="3" s="1"/>
  <c r="N23" i="3" s="1"/>
  <c r="N24" i="3" s="1"/>
  <c r="L67" i="3"/>
  <c r="L38" i="3" s="1"/>
  <c r="M23" i="3"/>
  <c r="M24" i="3" s="1"/>
  <c r="N21" i="3"/>
  <c r="M32" i="3"/>
  <c r="P31" i="10" s="1"/>
  <c r="N13" i="3"/>
  <c r="O12" i="3"/>
  <c r="O18" i="3" s="1"/>
  <c r="P11" i="3"/>
  <c r="N32" i="3"/>
  <c r="N79" i="3"/>
  <c r="N67" i="3" s="1"/>
  <c r="N38" i="3" s="1"/>
  <c r="N39" i="3"/>
  <c r="H31" i="8"/>
  <c r="H38" i="8"/>
  <c r="G97" i="8"/>
  <c r="G37" i="8" s="1"/>
  <c r="I30" i="8"/>
  <c r="I13" i="8"/>
  <c r="I84" i="8"/>
  <c r="I77" i="8" s="1"/>
  <c r="I19" i="8" s="1"/>
  <c r="I22" i="8" s="1"/>
  <c r="I23" i="8" s="1"/>
  <c r="H103" i="8"/>
  <c r="J12" i="8"/>
  <c r="J20" i="8" s="1"/>
  <c r="K11" i="8"/>
  <c r="G45" i="10" l="1"/>
  <c r="G46" i="10" s="1"/>
  <c r="F68" i="10"/>
  <c r="H17" i="10"/>
  <c r="H24" i="10"/>
  <c r="F55" i="10"/>
  <c r="G50" i="10" s="1"/>
  <c r="G52" i="10" s="1"/>
  <c r="F59" i="10"/>
  <c r="F56" i="10"/>
  <c r="H42" i="10"/>
  <c r="H37" i="10"/>
  <c r="H39" i="10" s="1"/>
  <c r="H43" i="10" s="1"/>
  <c r="P12" i="3"/>
  <c r="P18" i="3" s="1"/>
  <c r="Q11" i="3"/>
  <c r="O13" i="3"/>
  <c r="O31" i="3"/>
  <c r="O21" i="3"/>
  <c r="O60" i="3"/>
  <c r="O47" i="3" s="1"/>
  <c r="O20" i="3" s="1"/>
  <c r="O23" i="3" s="1"/>
  <c r="O24" i="3" s="1"/>
  <c r="I31" i="8"/>
  <c r="I38" i="8"/>
  <c r="H97" i="8"/>
  <c r="H37" i="8" s="1"/>
  <c r="I104" i="8"/>
  <c r="J13" i="8"/>
  <c r="J30" i="8"/>
  <c r="J85" i="8"/>
  <c r="J77" i="8" s="1"/>
  <c r="J19" i="8" s="1"/>
  <c r="J22" i="8" s="1"/>
  <c r="J23" i="8" s="1"/>
  <c r="L11" i="8"/>
  <c r="K12" i="8"/>
  <c r="K20" i="8" s="1"/>
  <c r="G57" i="10" l="1"/>
  <c r="G51" i="10"/>
  <c r="G54" i="10" s="1"/>
  <c r="G58" i="10" s="1"/>
  <c r="G59" i="10" s="1"/>
  <c r="F60" i="10"/>
  <c r="F61" i="10" s="1"/>
  <c r="F69" i="10" s="1"/>
  <c r="H53" i="10"/>
  <c r="H44" i="10"/>
  <c r="H40" i="10"/>
  <c r="I36" i="10" s="1"/>
  <c r="I38" i="10" s="1"/>
  <c r="H41" i="10"/>
  <c r="O32" i="3"/>
  <c r="O39" i="3"/>
  <c r="O37" i="3" s="1"/>
  <c r="O80" i="3"/>
  <c r="O67" i="3" s="1"/>
  <c r="O38" i="3" s="1"/>
  <c r="Q12" i="3"/>
  <c r="R11" i="3"/>
  <c r="R12" i="3" s="1"/>
  <c r="P13" i="3"/>
  <c r="P31" i="3"/>
  <c r="P61" i="3"/>
  <c r="P47" i="3" s="1"/>
  <c r="P20" i="3" s="1"/>
  <c r="P23" i="3" s="1"/>
  <c r="P24" i="3" s="1"/>
  <c r="P21" i="3"/>
  <c r="J31" i="8"/>
  <c r="J38" i="8"/>
  <c r="I97" i="8"/>
  <c r="I37" i="8" s="1"/>
  <c r="K13" i="8"/>
  <c r="K86" i="8"/>
  <c r="K77" i="8" s="1"/>
  <c r="K19" i="8" s="1"/>
  <c r="K22" i="8" s="1"/>
  <c r="K23" i="8" s="1"/>
  <c r="K30" i="8"/>
  <c r="J105" i="8"/>
  <c r="M11" i="8"/>
  <c r="L12" i="8"/>
  <c r="L20" i="8" s="1"/>
  <c r="G60" i="10" l="1"/>
  <c r="G61" i="10" s="1"/>
  <c r="I17" i="10"/>
  <c r="I24" i="10"/>
  <c r="H45" i="10"/>
  <c r="H46" i="10" s="1"/>
  <c r="F73" i="10"/>
  <c r="F71" i="10"/>
  <c r="F70" i="10"/>
  <c r="G65" i="10" s="1"/>
  <c r="G56" i="10"/>
  <c r="G55" i="10"/>
  <c r="H50" i="10" s="1"/>
  <c r="I42" i="10"/>
  <c r="I37" i="10"/>
  <c r="Q13" i="3"/>
  <c r="Q31" i="3"/>
  <c r="Q62" i="3"/>
  <c r="Q47" i="3" s="1"/>
  <c r="Q20" i="3" s="1"/>
  <c r="Q23" i="3" s="1"/>
  <c r="Q24" i="3" s="1"/>
  <c r="Q21" i="3"/>
  <c r="P32" i="3"/>
  <c r="S31" i="10" s="1"/>
  <c r="F32" i="10" s="1"/>
  <c r="P81" i="3"/>
  <c r="P67" i="3" s="1"/>
  <c r="P38" i="3" s="1"/>
  <c r="P39" i="3"/>
  <c r="P37" i="3" s="1"/>
  <c r="R13" i="3"/>
  <c r="R31" i="3"/>
  <c r="R21" i="3"/>
  <c r="D21" i="9" s="1"/>
  <c r="R18" i="3"/>
  <c r="D17" i="9" s="1"/>
  <c r="R63" i="3"/>
  <c r="R47" i="3" s="1"/>
  <c r="R20" i="3" s="1"/>
  <c r="M12" i="8"/>
  <c r="M20" i="8" s="1"/>
  <c r="N11" i="8"/>
  <c r="K31" i="8"/>
  <c r="K38" i="8"/>
  <c r="J97" i="8"/>
  <c r="J37" i="8" s="1"/>
  <c r="L13" i="8"/>
  <c r="L30" i="8"/>
  <c r="L87" i="8"/>
  <c r="L77" i="8" s="1"/>
  <c r="L19" i="8" s="1"/>
  <c r="L22" i="8" s="1"/>
  <c r="L23" i="8" s="1"/>
  <c r="K106" i="8"/>
  <c r="F74" i="10" l="1"/>
  <c r="G68" i="10"/>
  <c r="G72" i="10"/>
  <c r="G66" i="10"/>
  <c r="G67" i="10"/>
  <c r="H52" i="10"/>
  <c r="H57" i="10"/>
  <c r="H51" i="10"/>
  <c r="H54" i="10" s="1"/>
  <c r="H58" i="10" s="1"/>
  <c r="I39" i="10"/>
  <c r="I43" i="10" s="1"/>
  <c r="M30" i="8"/>
  <c r="M31" i="8" s="1"/>
  <c r="M13" i="8"/>
  <c r="M88" i="8"/>
  <c r="M77" i="8" s="1"/>
  <c r="M19" i="8" s="1"/>
  <c r="M22" i="8" s="1"/>
  <c r="M23" i="8" s="1"/>
  <c r="R23" i="3"/>
  <c r="R24" i="3" s="1"/>
  <c r="D20" i="9"/>
  <c r="D5" i="11" s="1"/>
  <c r="Q32" i="3"/>
  <c r="Q82" i="3"/>
  <c r="Q67" i="3" s="1"/>
  <c r="Q38" i="3" s="1"/>
  <c r="Q39" i="3"/>
  <c r="Q37" i="3" s="1"/>
  <c r="N12" i="8"/>
  <c r="N13" i="8" s="1"/>
  <c r="O11" i="8"/>
  <c r="R32" i="3"/>
  <c r="R39" i="3"/>
  <c r="R83" i="3"/>
  <c r="R67" i="3" s="1"/>
  <c r="R38" i="3" s="1"/>
  <c r="D24" i="9" s="1"/>
  <c r="D6" i="11" s="1"/>
  <c r="L31" i="8"/>
  <c r="L38" i="8"/>
  <c r="K97" i="8"/>
  <c r="K37" i="8" s="1"/>
  <c r="L107" i="8"/>
  <c r="I53" i="10" l="1"/>
  <c r="F75" i="10"/>
  <c r="F76" i="10" s="1"/>
  <c r="F80" i="10" s="1"/>
  <c r="G69" i="10"/>
  <c r="G73" i="10" s="1"/>
  <c r="H59" i="10"/>
  <c r="H56" i="10"/>
  <c r="H55" i="10"/>
  <c r="I50" i="10" s="1"/>
  <c r="I44" i="10"/>
  <c r="I41" i="10"/>
  <c r="I40" i="10"/>
  <c r="J36" i="10" s="1"/>
  <c r="J38" i="10" s="1"/>
  <c r="M108" i="8"/>
  <c r="M97" i="8" s="1"/>
  <c r="M37" i="8" s="1"/>
  <c r="M38" i="8"/>
  <c r="N89" i="8"/>
  <c r="N77" i="8" s="1"/>
  <c r="N19" i="8" s="1"/>
  <c r="N22" i="8" s="1"/>
  <c r="N23" i="8" s="1"/>
  <c r="N30" i="8"/>
  <c r="N31" i="8" s="1"/>
  <c r="N20" i="8"/>
  <c r="R37" i="3"/>
  <c r="D25" i="9"/>
  <c r="D7" i="11" s="1"/>
  <c r="P11" i="8"/>
  <c r="O12" i="8"/>
  <c r="L97" i="8"/>
  <c r="L37" i="8" s="1"/>
  <c r="J24" i="10" l="1"/>
  <c r="J17" i="10"/>
  <c r="F16" i="10"/>
  <c r="F81" i="10"/>
  <c r="H60" i="10"/>
  <c r="H61" i="10" s="1"/>
  <c r="I45" i="10"/>
  <c r="I46" i="10" s="1"/>
  <c r="G74" i="10"/>
  <c r="G71" i="10"/>
  <c r="G70" i="10"/>
  <c r="H65" i="10" s="1"/>
  <c r="I52" i="10"/>
  <c r="I57" i="10"/>
  <c r="I51" i="10"/>
  <c r="J42" i="10"/>
  <c r="J37" i="10"/>
  <c r="J39" i="10" s="1"/>
  <c r="J43" i="10" s="1"/>
  <c r="N109" i="8"/>
  <c r="N38" i="8"/>
  <c r="O13" i="8"/>
  <c r="O30" i="8"/>
  <c r="O90" i="8"/>
  <c r="O77" i="8" s="1"/>
  <c r="O19" i="8" s="1"/>
  <c r="O22" i="8" s="1"/>
  <c r="O23" i="8" s="1"/>
  <c r="O20" i="8"/>
  <c r="Q11" i="8"/>
  <c r="P12" i="8"/>
  <c r="N97" i="8"/>
  <c r="N37" i="8" s="1"/>
  <c r="F82" i="10" l="1"/>
  <c r="F83" i="10" s="1"/>
  <c r="F23" i="10"/>
  <c r="F26" i="10" s="1"/>
  <c r="J53" i="10"/>
  <c r="F19" i="10"/>
  <c r="G75" i="10"/>
  <c r="G76" i="10" s="1"/>
  <c r="G80" i="10" s="1"/>
  <c r="H67" i="10"/>
  <c r="H68" i="10"/>
  <c r="H72" i="10"/>
  <c r="H66" i="10"/>
  <c r="I54" i="10"/>
  <c r="I58" i="10" s="1"/>
  <c r="J44" i="10"/>
  <c r="J41" i="10"/>
  <c r="J40" i="10"/>
  <c r="K36" i="10" s="1"/>
  <c r="K38" i="10" s="1"/>
  <c r="P91" i="8"/>
  <c r="P77" i="8" s="1"/>
  <c r="P19" i="8" s="1"/>
  <c r="P22" i="8" s="1"/>
  <c r="P23" i="8" s="1"/>
  <c r="P30" i="8"/>
  <c r="P20" i="8"/>
  <c r="P13" i="8"/>
  <c r="O31" i="8"/>
  <c r="O110" i="8"/>
  <c r="O38" i="8"/>
  <c r="O36" i="8" s="1"/>
  <c r="R11" i="8"/>
  <c r="R12" i="8" s="1"/>
  <c r="Q12" i="8"/>
  <c r="K24" i="10" l="1"/>
  <c r="K17" i="10"/>
  <c r="J45" i="10"/>
  <c r="J46" i="10" s="1"/>
  <c r="G16" i="10"/>
  <c r="G81" i="10"/>
  <c r="H69" i="10"/>
  <c r="H73" i="10" s="1"/>
  <c r="I56" i="10"/>
  <c r="I55" i="10"/>
  <c r="J50" i="10" s="1"/>
  <c r="K42" i="10"/>
  <c r="K37" i="10"/>
  <c r="R93" i="8"/>
  <c r="R77" i="8" s="1"/>
  <c r="R19" i="8" s="1"/>
  <c r="R13" i="8"/>
  <c r="R20" i="8"/>
  <c r="D42" i="8" s="1"/>
  <c r="R30" i="8"/>
  <c r="Q92" i="8"/>
  <c r="Q77" i="8" s="1"/>
  <c r="Q19" i="8" s="1"/>
  <c r="Q22" i="8" s="1"/>
  <c r="Q23" i="8" s="1"/>
  <c r="Q13" i="8"/>
  <c r="Q20" i="8"/>
  <c r="Q30" i="8"/>
  <c r="O97" i="8"/>
  <c r="O37" i="8" s="1"/>
  <c r="P31" i="8"/>
  <c r="P111" i="8"/>
  <c r="P97" i="8" s="1"/>
  <c r="P37" i="8" s="1"/>
  <c r="P38" i="8"/>
  <c r="P36" i="8" s="1"/>
  <c r="H70" i="10" l="1"/>
  <c r="I65" i="10" s="1"/>
  <c r="I67" i="10" s="1"/>
  <c r="H71" i="10"/>
  <c r="G82" i="10"/>
  <c r="G83" i="10" s="1"/>
  <c r="G23" i="10"/>
  <c r="G26" i="10" s="1"/>
  <c r="G19" i="10"/>
  <c r="H74" i="10"/>
  <c r="J52" i="10"/>
  <c r="J57" i="10"/>
  <c r="J51" i="10"/>
  <c r="J54" i="10" s="1"/>
  <c r="J58" i="10" s="1"/>
  <c r="I59" i="10"/>
  <c r="K39" i="10"/>
  <c r="K43" i="10" s="1"/>
  <c r="Q31" i="8"/>
  <c r="Q112" i="8"/>
  <c r="Q97" i="8" s="1"/>
  <c r="Q37" i="8" s="1"/>
  <c r="Q38" i="8"/>
  <c r="Q36" i="8" s="1"/>
  <c r="R31" i="8"/>
  <c r="R113" i="8"/>
  <c r="R97" i="8" s="1"/>
  <c r="R37" i="8" s="1"/>
  <c r="F42" i="8" s="1"/>
  <c r="R38" i="8"/>
  <c r="R22" i="8"/>
  <c r="R23" i="8" s="1"/>
  <c r="C42" i="8"/>
  <c r="I68" i="10" l="1"/>
  <c r="I66" i="10"/>
  <c r="I72" i="10"/>
  <c r="H75" i="10"/>
  <c r="H76" i="10" s="1"/>
  <c r="I60" i="10"/>
  <c r="I61" i="10" s="1"/>
  <c r="I69" i="10" s="1"/>
  <c r="K53" i="10"/>
  <c r="J59" i="10"/>
  <c r="J56" i="10"/>
  <c r="J55" i="10"/>
  <c r="K50" i="10" s="1"/>
  <c r="K44" i="10"/>
  <c r="K41" i="10"/>
  <c r="K40" i="10"/>
  <c r="L36" i="10" s="1"/>
  <c r="L38" i="10" s="1"/>
  <c r="R36" i="8"/>
  <c r="G42" i="8"/>
  <c r="L17" i="10" l="1"/>
  <c r="L24" i="10"/>
  <c r="J60" i="10"/>
  <c r="J61" i="10" s="1"/>
  <c r="K45" i="10"/>
  <c r="K46" i="10" s="1"/>
  <c r="H80" i="10"/>
  <c r="H16" i="10" s="1"/>
  <c r="I73" i="10"/>
  <c r="I71" i="10"/>
  <c r="I70" i="10"/>
  <c r="J65" i="10" s="1"/>
  <c r="K52" i="10"/>
  <c r="K51" i="10"/>
  <c r="K57" i="10"/>
  <c r="L42" i="10"/>
  <c r="L37" i="10"/>
  <c r="K54" i="10" l="1"/>
  <c r="K58" i="10" s="1"/>
  <c r="K59" i="10" s="1"/>
  <c r="H19" i="10"/>
  <c r="H81" i="10"/>
  <c r="I74" i="10"/>
  <c r="J72" i="10"/>
  <c r="J67" i="10"/>
  <c r="J68" i="10"/>
  <c r="J66" i="10"/>
  <c r="L39" i="10"/>
  <c r="K56" i="10" l="1"/>
  <c r="H82" i="10"/>
  <c r="H83" i="10" s="1"/>
  <c r="H23" i="10"/>
  <c r="H26" i="10" s="1"/>
  <c r="I75" i="10"/>
  <c r="I76" i="10" s="1"/>
  <c r="I80" i="10" s="1"/>
  <c r="K60" i="10"/>
  <c r="K61" i="10" s="1"/>
  <c r="J69" i="10"/>
  <c r="K55" i="10"/>
  <c r="L50" i="10" s="1"/>
  <c r="L41" i="10"/>
  <c r="L43" i="10"/>
  <c r="L40" i="10"/>
  <c r="M36" i="10" s="1"/>
  <c r="M38" i="10" s="1"/>
  <c r="M24" i="10" l="1"/>
  <c r="M17" i="10"/>
  <c r="L53" i="10"/>
  <c r="I81" i="10"/>
  <c r="I16" i="10"/>
  <c r="L52" i="10"/>
  <c r="J71" i="10"/>
  <c r="J73" i="10"/>
  <c r="J70" i="10"/>
  <c r="K65" i="10" s="1"/>
  <c r="L57" i="10"/>
  <c r="L51" i="10"/>
  <c r="M42" i="10"/>
  <c r="M37" i="10"/>
  <c r="L44" i="10"/>
  <c r="L45" i="10" l="1"/>
  <c r="L46" i="10" s="1"/>
  <c r="L54" i="10" s="1"/>
  <c r="L58" i="10" s="1"/>
  <c r="J74" i="10"/>
  <c r="I19" i="10"/>
  <c r="I82" i="10"/>
  <c r="I83" i="10" s="1"/>
  <c r="I23" i="10"/>
  <c r="K68" i="10"/>
  <c r="K66" i="10"/>
  <c r="K72" i="10"/>
  <c r="K67" i="10"/>
  <c r="M39" i="10"/>
  <c r="K69" i="10" l="1"/>
  <c r="K73" i="10" s="1"/>
  <c r="K74" i="10" s="1"/>
  <c r="J75" i="10"/>
  <c r="J76" i="10" s="1"/>
  <c r="J80" i="10" s="1"/>
  <c r="I26" i="10"/>
  <c r="L59" i="10"/>
  <c r="L56" i="10"/>
  <c r="L55" i="10"/>
  <c r="M50" i="10" s="1"/>
  <c r="M41" i="10"/>
  <c r="M43" i="10"/>
  <c r="M40" i="10"/>
  <c r="N36" i="10" s="1"/>
  <c r="N38" i="10" s="1"/>
  <c r="K71" i="10" l="1"/>
  <c r="K70" i="10"/>
  <c r="L65" i="10" s="1"/>
  <c r="L68" i="10" s="1"/>
  <c r="N24" i="10"/>
  <c r="N17" i="10"/>
  <c r="L60" i="10"/>
  <c r="L61" i="10" s="1"/>
  <c r="K75" i="10"/>
  <c r="K76" i="10" s="1"/>
  <c r="K80" i="10" s="1"/>
  <c r="M53" i="10"/>
  <c r="J16" i="10"/>
  <c r="J81" i="10"/>
  <c r="M52" i="10"/>
  <c r="M51" i="10"/>
  <c r="M57" i="10"/>
  <c r="N42" i="10"/>
  <c r="N37" i="10"/>
  <c r="N39" i="10" s="1"/>
  <c r="M44" i="10"/>
  <c r="L66" i="10" l="1"/>
  <c r="L67" i="10"/>
  <c r="L72" i="10"/>
  <c r="J82" i="10"/>
  <c r="J83" i="10" s="1"/>
  <c r="J23" i="10"/>
  <c r="J19" i="10"/>
  <c r="M45" i="10"/>
  <c r="M46" i="10" s="1"/>
  <c r="M54" i="10" s="1"/>
  <c r="M58" i="10" s="1"/>
  <c r="K16" i="10"/>
  <c r="K19" i="10" s="1"/>
  <c r="K81" i="10"/>
  <c r="N41" i="10"/>
  <c r="N43" i="10"/>
  <c r="N40" i="10"/>
  <c r="O36" i="10" s="1"/>
  <c r="O38" i="10" s="1"/>
  <c r="L69" i="10" l="1"/>
  <c r="K82" i="10"/>
  <c r="K83" i="10" s="1"/>
  <c r="K23" i="10"/>
  <c r="K26" i="10" s="1"/>
  <c r="N53" i="10"/>
  <c r="O24" i="10"/>
  <c r="O17" i="10"/>
  <c r="J26" i="10"/>
  <c r="M56" i="10"/>
  <c r="M55" i="10"/>
  <c r="N50" i="10" s="1"/>
  <c r="O42" i="10"/>
  <c r="O37" i="10"/>
  <c r="O39" i="10" s="1"/>
  <c r="O43" i="10" s="1"/>
  <c r="N44" i="10"/>
  <c r="L71" i="10" l="1"/>
  <c r="L73" i="10"/>
  <c r="L74" i="10" s="1"/>
  <c r="L70" i="10"/>
  <c r="M65" i="10" s="1"/>
  <c r="N45" i="10"/>
  <c r="N46" i="10" s="1"/>
  <c r="O53" i="10"/>
  <c r="L75" i="10"/>
  <c r="L76" i="10" s="1"/>
  <c r="L80" i="10" s="1"/>
  <c r="N52" i="10"/>
  <c r="M59" i="10"/>
  <c r="N51" i="10"/>
  <c r="N57" i="10"/>
  <c r="O41" i="10"/>
  <c r="O44" i="10"/>
  <c r="O40" i="10"/>
  <c r="P36" i="10" s="1"/>
  <c r="P38" i="10" s="1"/>
  <c r="M72" i="10" l="1"/>
  <c r="M67" i="10"/>
  <c r="M68" i="10"/>
  <c r="M66" i="10"/>
  <c r="N54" i="10"/>
  <c r="N58" i="10" s="1"/>
  <c r="N59" i="10" s="1"/>
  <c r="P17" i="10"/>
  <c r="D17" i="10" s="1"/>
  <c r="D34" i="9" s="1"/>
  <c r="P24" i="10"/>
  <c r="L81" i="10"/>
  <c r="L16" i="10"/>
  <c r="L19" i="10" s="1"/>
  <c r="M60" i="10"/>
  <c r="M61" i="10" s="1"/>
  <c r="M69" i="10" s="1"/>
  <c r="O45" i="10"/>
  <c r="O46" i="10" s="1"/>
  <c r="P42" i="10"/>
  <c r="P37" i="10"/>
  <c r="N55" i="10" l="1"/>
  <c r="O50" i="10" s="1"/>
  <c r="N56" i="10"/>
  <c r="N60" i="10"/>
  <c r="N61" i="10" s="1"/>
  <c r="L82" i="10"/>
  <c r="L83" i="10" s="1"/>
  <c r="L23" i="10"/>
  <c r="D24" i="10"/>
  <c r="F34" i="9" s="1"/>
  <c r="M73" i="10"/>
  <c r="M71" i="10"/>
  <c r="M70" i="10"/>
  <c r="N65" i="10" s="1"/>
  <c r="P39" i="10"/>
  <c r="P43" i="10" s="1"/>
  <c r="L26" i="10" l="1"/>
  <c r="M74" i="10"/>
  <c r="O52" i="10"/>
  <c r="N68" i="10"/>
  <c r="N66" i="10"/>
  <c r="N72" i="10"/>
  <c r="N67" i="10"/>
  <c r="O57" i="10"/>
  <c r="O51" i="10"/>
  <c r="O54" i="10" s="1"/>
  <c r="O58" i="10" s="1"/>
  <c r="P44" i="10"/>
  <c r="P53" i="10"/>
  <c r="P40" i="10"/>
  <c r="P41" i="10"/>
  <c r="E41" i="10" s="1"/>
  <c r="N69" i="10" l="1"/>
  <c r="M75" i="10"/>
  <c r="M76" i="10" s="1"/>
  <c r="M80" i="10" s="1"/>
  <c r="P45" i="10"/>
  <c r="P46" i="10" s="1"/>
  <c r="N73" i="10"/>
  <c r="N70" i="10"/>
  <c r="O65" i="10" s="1"/>
  <c r="N71" i="10"/>
  <c r="O59" i="10"/>
  <c r="O56" i="10"/>
  <c r="O55" i="10"/>
  <c r="P50" i="10" s="1"/>
  <c r="N74" i="10" l="1"/>
  <c r="O60" i="10"/>
  <c r="O61" i="10" s="1"/>
  <c r="M16" i="10"/>
  <c r="M19" i="10" s="1"/>
  <c r="M81" i="10"/>
  <c r="P52" i="10"/>
  <c r="O68" i="10"/>
  <c r="O72" i="10"/>
  <c r="O67" i="10"/>
  <c r="O66" i="10"/>
  <c r="P57" i="10"/>
  <c r="P51" i="10"/>
  <c r="P54" i="10" s="1"/>
  <c r="P58" i="10" s="1"/>
  <c r="M82" i="10" l="1"/>
  <c r="M83" i="10" s="1"/>
  <c r="M23" i="10"/>
  <c r="N75" i="10"/>
  <c r="N76" i="10" s="1"/>
  <c r="N80" i="10" s="1"/>
  <c r="O69" i="10"/>
  <c r="O73" i="10" s="1"/>
  <c r="P59" i="10"/>
  <c r="P56" i="10"/>
  <c r="E56" i="10" s="1"/>
  <c r="P55" i="10"/>
  <c r="N16" i="10" l="1"/>
  <c r="N19" i="10" s="1"/>
  <c r="N81" i="10"/>
  <c r="M26" i="10"/>
  <c r="O74" i="10"/>
  <c r="P60" i="10"/>
  <c r="P61" i="10" s="1"/>
  <c r="O70" i="10"/>
  <c r="P65" i="10" s="1"/>
  <c r="O71" i="10"/>
  <c r="N82" i="10" l="1"/>
  <c r="N83" i="10" s="1"/>
  <c r="N23" i="10"/>
  <c r="O75" i="10"/>
  <c r="O76" i="10" s="1"/>
  <c r="O80" i="10" s="1"/>
  <c r="P72" i="10"/>
  <c r="P68" i="10"/>
  <c r="P67" i="10"/>
  <c r="P66" i="10"/>
  <c r="O81" i="10" l="1"/>
  <c r="O16" i="10"/>
  <c r="O19" i="10" s="1"/>
  <c r="N26" i="10"/>
  <c r="P69" i="10"/>
  <c r="P71" i="10" s="1"/>
  <c r="E71" i="10" s="1"/>
  <c r="P70" i="10" l="1"/>
  <c r="P73" i="10"/>
  <c r="P74" i="10" s="1"/>
  <c r="O82" i="10"/>
  <c r="O83" i="10" s="1"/>
  <c r="O23" i="10"/>
  <c r="O26" i="10" l="1"/>
  <c r="P75" i="10"/>
  <c r="P76" i="10" s="1"/>
  <c r="P80" i="10" s="1"/>
  <c r="P81" i="10" l="1"/>
  <c r="P16" i="10"/>
  <c r="P19" i="10" l="1"/>
  <c r="D19" i="10" s="1"/>
  <c r="F32" i="9" s="1"/>
  <c r="D16" i="10"/>
  <c r="D33" i="9" s="1"/>
  <c r="P82" i="10"/>
  <c r="P83" i="10" s="1"/>
  <c r="P23" i="10"/>
  <c r="P26" i="10" l="1"/>
  <c r="D26" i="10" s="1"/>
  <c r="D32" i="9" s="1"/>
  <c r="D23" i="10"/>
  <c r="F33" i="9" s="1"/>
  <c r="D18" i="10"/>
  <c r="D35" i="9" s="1"/>
  <c r="D20" i="10"/>
  <c r="D36" i="9" s="1"/>
  <c r="D27" i="10" l="1"/>
  <c r="F36" i="9" s="1"/>
  <c r="D25" i="10"/>
  <c r="F35" i="9" s="1"/>
</calcChain>
</file>

<file path=xl/comments1.xml><?xml version="1.0" encoding="utf-8"?>
<comments xmlns="http://schemas.openxmlformats.org/spreadsheetml/2006/main">
  <authors>
    <author>burton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burton:</t>
        </r>
        <r>
          <rPr>
            <sz val="9"/>
            <color indexed="81"/>
            <rFont val="Tahoma"/>
            <family val="2"/>
          </rPr>
          <t xml:space="preserve">
Must start on first day of month.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burton:</t>
        </r>
        <r>
          <rPr>
            <sz val="9"/>
            <color indexed="81"/>
            <rFont val="Tahoma"/>
            <family val="2"/>
          </rPr>
          <t xml:space="preserve">
Minimum 1 year
Maximum 15 years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burton:</t>
        </r>
        <r>
          <rPr>
            <sz val="9"/>
            <color indexed="81"/>
            <rFont val="Tahoma"/>
            <family val="2"/>
          </rPr>
          <t xml:space="preserve">
Exclusing Lease-up and ARGUS included year one CapEx.</t>
        </r>
      </text>
    </comment>
  </commentList>
</comments>
</file>

<file path=xl/comments2.xml><?xml version="1.0" encoding="utf-8"?>
<comments xmlns="http://schemas.openxmlformats.org/spreadsheetml/2006/main">
  <authors>
    <author>burton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burton:</t>
        </r>
        <r>
          <rPr>
            <sz val="9"/>
            <color indexed="81"/>
            <rFont val="Tahoma"/>
            <family val="2"/>
          </rPr>
          <t xml:space="preserve">
Use formula Year 1 NOI ÷ Cap Rate UNLESS using broker guidance price.</t>
        </r>
      </text>
    </comment>
    <comment ref="S4" authorId="0" shapeId="0">
      <text>
        <r>
          <rPr>
            <b/>
            <sz val="9"/>
            <color indexed="81"/>
            <rFont val="Tahoma"/>
            <family val="2"/>
          </rPr>
          <t>burton:</t>
        </r>
        <r>
          <rPr>
            <sz val="9"/>
            <color indexed="81"/>
            <rFont val="Tahoma"/>
            <family val="2"/>
          </rPr>
          <t xml:space="preserve">
As a % of price.</t>
        </r>
      </text>
    </comment>
    <comment ref="W4" authorId="0" shapeId="0">
      <text>
        <r>
          <rPr>
            <b/>
            <sz val="9"/>
            <color indexed="81"/>
            <rFont val="Tahoma"/>
            <family val="2"/>
          </rPr>
          <t>burton:</t>
        </r>
        <r>
          <rPr>
            <sz val="9"/>
            <color indexed="81"/>
            <rFont val="Tahoma"/>
            <family val="2"/>
          </rPr>
          <t xml:space="preserve">
% of Loan Amount</t>
        </r>
      </text>
    </comment>
  </commentList>
</comments>
</file>

<file path=xl/sharedStrings.xml><?xml version="1.0" encoding="utf-8"?>
<sst xmlns="http://schemas.openxmlformats.org/spreadsheetml/2006/main" count="274" uniqueCount="162">
  <si>
    <t>Portfolio Property List</t>
  </si>
  <si>
    <t>#</t>
  </si>
  <si>
    <t>Property Name</t>
  </si>
  <si>
    <t>NRA</t>
  </si>
  <si>
    <t>City, State</t>
  </si>
  <si>
    <t>Occ. %</t>
  </si>
  <si>
    <t>Property Assumptions</t>
  </si>
  <si>
    <t>Price</t>
  </si>
  <si>
    <t>Cap Rate</t>
  </si>
  <si>
    <t>PSF</t>
  </si>
  <si>
    <t>Property Valuation</t>
  </si>
  <si>
    <t>Interest Rate</t>
  </si>
  <si>
    <t>Years I/O</t>
  </si>
  <si>
    <t>Amo Period</t>
  </si>
  <si>
    <t>Term</t>
  </si>
  <si>
    <t>LTV</t>
  </si>
  <si>
    <t>Financing Assumptions</t>
  </si>
  <si>
    <t>Analysis Start</t>
  </si>
  <si>
    <t>Analysis Period</t>
  </si>
  <si>
    <t>Year Ending</t>
  </si>
  <si>
    <t>Property Cash Flows</t>
  </si>
  <si>
    <t>EGR</t>
  </si>
  <si>
    <t>NOI</t>
  </si>
  <si>
    <t>CFO</t>
  </si>
  <si>
    <t>-</t>
  </si>
  <si>
    <t>Portfolio Wrap-up</t>
  </si>
  <si>
    <t>Portfolio Summary</t>
  </si>
  <si>
    <t>.</t>
  </si>
  <si>
    <t>Effective Gross Income</t>
  </si>
  <si>
    <t>Operating Expenses</t>
  </si>
  <si>
    <t>Net Operating Income</t>
  </si>
  <si>
    <t>Leasing and Capital Costs</t>
  </si>
  <si>
    <t>Cash Flow Before Debt Service</t>
  </si>
  <si>
    <t>Cap Rate at Sale</t>
  </si>
  <si>
    <t>Net Sales Price</t>
  </si>
  <si>
    <t>Net Sales Price PSF</t>
  </si>
  <si>
    <t>Free and Clear Return</t>
  </si>
  <si>
    <t>Avg. Free and Clear Return</t>
  </si>
  <si>
    <t>Loan Amount</t>
  </si>
  <si>
    <t>Proceeds</t>
  </si>
  <si>
    <t>Unlevered Cash Flow</t>
  </si>
  <si>
    <t>Unlevered Internal Rate of Return</t>
  </si>
  <si>
    <t>Portion of IRR from Income</t>
  </si>
  <si>
    <t>Portion of IRR from Sale</t>
  </si>
  <si>
    <t>Debt Service</t>
  </si>
  <si>
    <t>Debt Coverage Ratio</t>
  </si>
  <si>
    <t>Levered Cash Flow</t>
  </si>
  <si>
    <t>Avg. Cash-on-Cash Return</t>
  </si>
  <si>
    <t>Cash-on-Cash Return</t>
  </si>
  <si>
    <t>Levered Internal Rate of Return</t>
  </si>
  <si>
    <t>Unlevered Equity Multiple</t>
  </si>
  <si>
    <t>Levered Equity Multiple</t>
  </si>
  <si>
    <t>Loan Balance</t>
  </si>
  <si>
    <t>Permanent Financing</t>
  </si>
  <si>
    <t>Amo Payment</t>
  </si>
  <si>
    <t>I/O Payment</t>
  </si>
  <si>
    <t>Initial Loan Balance</t>
  </si>
  <si>
    <t>Upfront CapEx</t>
  </si>
  <si>
    <t>Net Cash on Sale</t>
  </si>
  <si>
    <t>Unlevered</t>
  </si>
  <si>
    <t>Year</t>
  </si>
  <si>
    <t>IRR</t>
  </si>
  <si>
    <t>Levered</t>
  </si>
  <si>
    <t>Internal Rate of Return Calculation (Hide/Unhide)</t>
  </si>
  <si>
    <t>Property Level Returns</t>
  </si>
  <si>
    <t xml:space="preserve">Property: </t>
  </si>
  <si>
    <t>Unlevered All-In Basis</t>
  </si>
  <si>
    <t>Net Gain</t>
  </si>
  <si>
    <t>Discount Rate</t>
  </si>
  <si>
    <t>Unlevered CF w/Residual</t>
  </si>
  <si>
    <t>Replacement Cost (PSF)</t>
  </si>
  <si>
    <t>Portfolio Name</t>
  </si>
  <si>
    <t>Unlevered IRR</t>
  </si>
  <si>
    <t>Levered IRR</t>
  </si>
  <si>
    <t>Min. DSCR</t>
  </si>
  <si>
    <t>Min. Debt Yield</t>
  </si>
  <si>
    <t>Portfolio Metrics</t>
  </si>
  <si>
    <t>Purchase Price</t>
  </si>
  <si>
    <t>Replacement Cost</t>
  </si>
  <si>
    <t>Market Cap Rate Yr. 1</t>
  </si>
  <si>
    <t>Exit Cap Rate Growth/Yr</t>
  </si>
  <si>
    <t>Exit Cap Year</t>
  </si>
  <si>
    <t>Number of Properties</t>
  </si>
  <si>
    <t>Net Rentable Area</t>
  </si>
  <si>
    <t>Occupancy %</t>
  </si>
  <si>
    <t>All-in-Basis</t>
  </si>
  <si>
    <t>Price PSF</t>
  </si>
  <si>
    <t>Year 1 NOI</t>
  </si>
  <si>
    <t>Year 3 NOI</t>
  </si>
  <si>
    <t>Debt Yield</t>
  </si>
  <si>
    <t>Purchase Price Method</t>
  </si>
  <si>
    <t>DCF Value</t>
  </si>
  <si>
    <t>Set Purchase Price</t>
  </si>
  <si>
    <t>Going-In Cap Rate</t>
  </si>
  <si>
    <t>Equity Required</t>
  </si>
  <si>
    <t>Acquisition Cost</t>
  </si>
  <si>
    <t>Amo. Period</t>
  </si>
  <si>
    <t>Lender Fees (%)</t>
  </si>
  <si>
    <t>Lender Fees ($)</t>
  </si>
  <si>
    <t>Unlevered EMx</t>
  </si>
  <si>
    <t>Levered EMx</t>
  </si>
  <si>
    <t>Average
 Free and Clear</t>
  </si>
  <si>
    <t>Average
 Cash-on-Cash</t>
  </si>
  <si>
    <t>Equity Req'd</t>
  </si>
  <si>
    <t>Acquisition Cost %</t>
  </si>
  <si>
    <t>Lender Fees %</t>
  </si>
  <si>
    <t>Property Metrics</t>
  </si>
  <si>
    <t>Property Name #1</t>
  </si>
  <si>
    <t>Investor Level Returns - Promote Waterfall</t>
  </si>
  <si>
    <t>Capitalization</t>
  </si>
  <si>
    <t>LP Investors</t>
  </si>
  <si>
    <t>Sponsor</t>
  </si>
  <si>
    <t>Investor Returns</t>
  </si>
  <si>
    <t>Total Distributions</t>
  </si>
  <si>
    <t>Total Contributions</t>
  </si>
  <si>
    <t>Total Profit</t>
  </si>
  <si>
    <t>Equity Multiple</t>
  </si>
  <si>
    <t>Promote Structure</t>
  </si>
  <si>
    <t>Hurdle 1</t>
  </si>
  <si>
    <t>Hurdle 2</t>
  </si>
  <si>
    <t>Hurdle 3</t>
  </si>
  <si>
    <t>Hurdle 4</t>
  </si>
  <si>
    <t>LP Share</t>
  </si>
  <si>
    <t>Sponsor Promote</t>
  </si>
  <si>
    <t>Sponsor %</t>
  </si>
  <si>
    <t>LP %</t>
  </si>
  <si>
    <t>%</t>
  </si>
  <si>
    <t>Amount</t>
  </si>
  <si>
    <t>Property Name #2</t>
  </si>
  <si>
    <t>Portfolio Level</t>
  </si>
  <si>
    <t>Levered Before Tax Cash Flow</t>
  </si>
  <si>
    <t>Year 0</t>
  </si>
  <si>
    <t>LP Req'd Return</t>
  </si>
  <si>
    <t>Hurdle 1 (Preferred Return)</t>
  </si>
  <si>
    <t>Beginning Balance (LP Capital Account)</t>
  </si>
  <si>
    <t>Req'd Return by LP (Pref)</t>
  </si>
  <si>
    <t>Ending Balance (LP Capital Account)</t>
  </si>
  <si>
    <t>Contributions from LP</t>
  </si>
  <si>
    <t>Distribution to Sponsor</t>
  </si>
  <si>
    <t>Distribution to LP</t>
  </si>
  <si>
    <t>Cash Flow Remaining</t>
  </si>
  <si>
    <t>Distributions to LP (Hurdle 1)</t>
  </si>
  <si>
    <t>Prior Distributions</t>
  </si>
  <si>
    <t>Net Cash Flow For Distribution</t>
  </si>
  <si>
    <t>Summary of Investor Level Returns</t>
  </si>
  <si>
    <t>Total LP Distributions</t>
  </si>
  <si>
    <t>Total Sponsor Distributions</t>
  </si>
  <si>
    <t>LP IRR</t>
  </si>
  <si>
    <t>Total LP Contributions</t>
  </si>
  <si>
    <t>Total LP Profit</t>
  </si>
  <si>
    <t>LP Equity Multiple</t>
  </si>
  <si>
    <t>Sponsor Returns</t>
  </si>
  <si>
    <t>Limited Partner (LP) Returns</t>
  </si>
  <si>
    <t>Total Sponsor Contributions</t>
  </si>
  <si>
    <t>Total Sponsor Profit</t>
  </si>
  <si>
    <t>Sponsor IRR</t>
  </si>
  <si>
    <t>Sponsor Equity Multiple</t>
  </si>
  <si>
    <t>N/A</t>
  </si>
  <si>
    <t>Limited Partner(s)</t>
  </si>
  <si>
    <t>Floating Summary Box</t>
  </si>
  <si>
    <t>Portfolio Return Metrics</t>
  </si>
  <si>
    <t>Portfolio Risk Metrics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</si>
</sst>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6" formatCode="&quot;$&quot;#,##0_);[Red]\(&quot;$&quot;#,##0\)"/>
    <numFmt numFmtId="8" formatCode="&quot;$&quot;#,##0.00_);[Red]\(&quot;$&quot;#,##0.00\)"/>
    <numFmt numFmtId="164" formatCode="0.0%"/>
    <numFmt numFmtId="165" formatCode="#,000\ &quot;sf&quot;"/>
    <numFmt numFmtId="166" formatCode="0\ &quot;years&quot;"/>
    <numFmt numFmtId="167" formatCode="[$-409]d\-mmm\-yy;@"/>
    <numFmt numFmtId="168" formatCode="&quot;Year&quot;\ 0"/>
    <numFmt numFmtId="169" formatCode="0\ &quot;bps&quot;"/>
    <numFmt numFmtId="170" formatCode="0.00&quot;x&quot;"/>
    <numFmt numFmtId="171" formatCode="0.0\ &quot;years&quot;"/>
    <numFmt numFmtId="172" formatCode="0.00\ &quot;years&quot;"/>
    <numFmt numFmtId="173" formatCode="&quot;&gt;&quot;\ 0.0%\ \I\R\R&quot; to LP&quot;"/>
    <numFmt numFmtId="174" formatCode="&quot; up to &quot;0.0%\ \I\R\R&quot; to LP&quot;"/>
    <numFmt numFmtId="175" formatCode="&quot; Up to &quot;0.0%\ \I\R\R&quot; to LP&quot;"/>
    <numFmt numFmtId="176" formatCode="&quot;LP Check -&quot;\ 0.0%\ &quot;IRR&quot;"/>
    <numFmt numFmtId="177" formatCode="0.00&quot;X&quot;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2"/>
      <color indexed="12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Arial"/>
      <family val="2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theme="9"/>
      </left>
      <right/>
      <top style="thick">
        <color theme="9"/>
      </top>
      <bottom/>
      <diagonal/>
    </border>
    <border>
      <left/>
      <right/>
      <top style="thick">
        <color theme="9"/>
      </top>
      <bottom/>
      <diagonal/>
    </border>
    <border>
      <left/>
      <right style="thick">
        <color theme="9"/>
      </right>
      <top style="thick">
        <color theme="9"/>
      </top>
      <bottom/>
      <diagonal/>
    </border>
    <border>
      <left style="thick">
        <color theme="9"/>
      </left>
      <right/>
      <top/>
      <bottom/>
      <diagonal/>
    </border>
    <border>
      <left/>
      <right style="thick">
        <color theme="9"/>
      </right>
      <top/>
      <bottom/>
      <diagonal/>
    </border>
    <border>
      <left style="thick">
        <color theme="9"/>
      </left>
      <right/>
      <top/>
      <bottom style="thick">
        <color theme="9"/>
      </bottom>
      <diagonal/>
    </border>
    <border>
      <left/>
      <right/>
      <top/>
      <bottom style="thick">
        <color theme="9"/>
      </bottom>
      <diagonal/>
    </border>
    <border>
      <left/>
      <right style="thick">
        <color theme="9"/>
      </right>
      <top/>
      <bottom style="thick">
        <color theme="9"/>
      </bottom>
      <diagonal/>
    </border>
  </borders>
  <cellStyleXfs count="2">
    <xf numFmtId="0" fontId="0" fillId="0" borderId="0"/>
    <xf numFmtId="0" fontId="14" fillId="0" borderId="0"/>
  </cellStyleXfs>
  <cellXfs count="20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Fill="1" applyBorder="1"/>
    <xf numFmtId="0" fontId="0" fillId="0" borderId="0" xfId="0" applyBorder="1"/>
    <xf numFmtId="0" fontId="0" fillId="2" borderId="0" xfId="0" applyFill="1" applyBorder="1"/>
    <xf numFmtId="0" fontId="0" fillId="2" borderId="0" xfId="0" applyFill="1"/>
    <xf numFmtId="0" fontId="1" fillId="2" borderId="0" xfId="0" applyFont="1" applyFill="1" applyAlignment="1">
      <alignment horizontal="center" wrapText="1"/>
    </xf>
    <xf numFmtId="0" fontId="3" fillId="2" borderId="0" xfId="0" applyFont="1" applyFill="1" applyBorder="1"/>
    <xf numFmtId="168" fontId="0" fillId="0" borderId="0" xfId="0" applyNumberFormat="1" applyAlignment="1">
      <alignment horizontal="center"/>
    </xf>
    <xf numFmtId="0" fontId="3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168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167" fontId="0" fillId="0" borderId="0" xfId="0" applyNumberFormat="1" applyFill="1" applyAlignment="1">
      <alignment horizontal="center"/>
    </xf>
    <xf numFmtId="0" fontId="8" fillId="0" borderId="0" xfId="0" applyFont="1" applyFill="1"/>
    <xf numFmtId="0" fontId="2" fillId="0" borderId="0" xfId="0" applyFont="1" applyFill="1"/>
    <xf numFmtId="0" fontId="8" fillId="0" borderId="0" xfId="0" applyFont="1" applyFill="1" applyAlignment="1">
      <alignment horizontal="left" indent="1"/>
    </xf>
    <xf numFmtId="0" fontId="0" fillId="0" borderId="0" xfId="0" applyFill="1" applyAlignment="1">
      <alignment horizontal="left" indent="1"/>
    </xf>
    <xf numFmtId="0" fontId="0" fillId="0" borderId="0" xfId="0" applyFill="1" applyAlignment="1">
      <alignment horizontal="right" indent="1"/>
    </xf>
    <xf numFmtId="0" fontId="1" fillId="0" borderId="0" xfId="0" applyFont="1" applyFill="1" applyAlignment="1">
      <alignment horizontal="left" indent="1"/>
    </xf>
    <xf numFmtId="0" fontId="0" fillId="0" borderId="0" xfId="0" applyFill="1" applyBorder="1"/>
    <xf numFmtId="0" fontId="1" fillId="0" borderId="0" xfId="0" applyFont="1" applyFill="1" applyBorder="1" applyAlignment="1">
      <alignment horizontal="center" wrapText="1"/>
    </xf>
    <xf numFmtId="165" fontId="2" fillId="0" borderId="0" xfId="0" applyNumberFormat="1" applyFont="1" applyFill="1" applyBorder="1"/>
    <xf numFmtId="164" fontId="2" fillId="0" borderId="0" xfId="0" applyNumberFormat="1" applyFont="1" applyFill="1" applyBorder="1"/>
    <xf numFmtId="6" fontId="0" fillId="0" borderId="0" xfId="0" applyNumberFormat="1" applyFill="1" applyBorder="1"/>
    <xf numFmtId="8" fontId="0" fillId="0" borderId="0" xfId="0" applyNumberFormat="1" applyFill="1" applyBorder="1"/>
    <xf numFmtId="10" fontId="2" fillId="0" borderId="0" xfId="0" applyNumberFormat="1" applyFont="1" applyFill="1" applyBorder="1"/>
    <xf numFmtId="10" fontId="2" fillId="0" borderId="0" xfId="0" applyNumberFormat="1" applyFont="1" applyFill="1"/>
    <xf numFmtId="166" fontId="2" fillId="0" borderId="0" xfId="0" applyNumberFormat="1" applyFont="1" applyFill="1"/>
    <xf numFmtId="0" fontId="5" fillId="0" borderId="0" xfId="0" applyFont="1" applyFill="1" applyBorder="1"/>
    <xf numFmtId="0" fontId="0" fillId="0" borderId="0" xfId="0" applyBorder="1" applyAlignment="1">
      <alignment horizontal="center"/>
    </xf>
    <xf numFmtId="38" fontId="0" fillId="0" borderId="0" xfId="0" applyNumberFormat="1" applyFill="1" applyAlignment="1">
      <alignment horizontal="left" indent="1"/>
    </xf>
    <xf numFmtId="38" fontId="0" fillId="0" borderId="0" xfId="0" applyNumberFormat="1" applyFill="1"/>
    <xf numFmtId="38" fontId="2" fillId="0" borderId="0" xfId="0" applyNumberFormat="1" applyFont="1" applyFill="1"/>
    <xf numFmtId="38" fontId="9" fillId="0" borderId="0" xfId="0" applyNumberFormat="1" applyFont="1" applyFill="1"/>
    <xf numFmtId="10" fontId="8" fillId="0" borderId="0" xfId="0" applyNumberFormat="1" applyFont="1" applyFill="1" applyBorder="1"/>
    <xf numFmtId="0" fontId="8" fillId="0" borderId="0" xfId="0" applyFont="1"/>
    <xf numFmtId="0" fontId="1" fillId="0" borderId="0" xfId="0" applyFont="1" applyFill="1" applyBorder="1" applyAlignment="1">
      <alignment horizontal="left" wrapText="1"/>
    </xf>
    <xf numFmtId="0" fontId="9" fillId="0" borderId="0" xfId="0" applyFont="1" applyFill="1" applyAlignment="1">
      <alignment horizontal="left"/>
    </xf>
    <xf numFmtId="0" fontId="0" fillId="0" borderId="0" xfId="0" applyFill="1" applyAlignment="1"/>
    <xf numFmtId="38" fontId="0" fillId="0" borderId="0" xfId="0" applyNumberFormat="1" applyFill="1" applyAlignment="1">
      <alignment horizontal="center"/>
    </xf>
    <xf numFmtId="37" fontId="0" fillId="0" borderId="0" xfId="0" applyNumberFormat="1" applyFill="1" applyAlignment="1">
      <alignment horizontal="center"/>
    </xf>
    <xf numFmtId="38" fontId="2" fillId="0" borderId="0" xfId="0" applyNumberFormat="1" applyFont="1" applyFill="1" applyAlignment="1">
      <alignment horizontal="center"/>
    </xf>
    <xf numFmtId="38" fontId="9" fillId="0" borderId="0" xfId="0" applyNumberFormat="1" applyFont="1" applyFill="1" applyAlignment="1">
      <alignment horizontal="center"/>
    </xf>
    <xf numFmtId="0" fontId="3" fillId="2" borderId="0" xfId="0" applyFont="1" applyFill="1" applyAlignment="1"/>
    <xf numFmtId="10" fontId="8" fillId="0" borderId="0" xfId="0" applyNumberFormat="1" applyFont="1" applyFill="1" applyAlignment="1">
      <alignment horizontal="center"/>
    </xf>
    <xf numFmtId="38" fontId="8" fillId="0" borderId="0" xfId="0" applyNumberFormat="1" applyFont="1" applyFill="1" applyAlignment="1">
      <alignment horizontal="center"/>
    </xf>
    <xf numFmtId="8" fontId="8" fillId="0" borderId="0" xfId="0" applyNumberFormat="1" applyFont="1" applyFill="1" applyAlignment="1">
      <alignment horizontal="center"/>
    </xf>
    <xf numFmtId="0" fontId="8" fillId="0" borderId="0" xfId="0" applyFont="1" applyBorder="1"/>
    <xf numFmtId="38" fontId="8" fillId="0" borderId="0" xfId="0" applyNumberFormat="1" applyFont="1" applyFill="1"/>
    <xf numFmtId="6" fontId="2" fillId="0" borderId="0" xfId="0" applyNumberFormat="1" applyFont="1" applyFill="1"/>
    <xf numFmtId="6" fontId="8" fillId="0" borderId="0" xfId="0" applyNumberFormat="1" applyFont="1" applyFill="1"/>
    <xf numFmtId="8" fontId="8" fillId="0" borderId="0" xfId="0" applyNumberFormat="1" applyFont="1" applyFill="1"/>
    <xf numFmtId="0" fontId="9" fillId="0" borderId="0" xfId="0" applyFont="1"/>
    <xf numFmtId="0" fontId="9" fillId="0" borderId="0" xfId="0" applyFont="1" applyFill="1"/>
    <xf numFmtId="170" fontId="8" fillId="0" borderId="0" xfId="0" applyNumberFormat="1" applyFont="1" applyFill="1" applyAlignment="1">
      <alignment horizontal="center"/>
    </xf>
    <xf numFmtId="6" fontId="2" fillId="0" borderId="0" xfId="0" applyNumberFormat="1" applyFont="1" applyFill="1" applyBorder="1"/>
    <xf numFmtId="0" fontId="0" fillId="3" borderId="0" xfId="0" applyFill="1"/>
    <xf numFmtId="0" fontId="0" fillId="0" borderId="0" xfId="0" applyAlignment="1">
      <alignment horizontal="right"/>
    </xf>
    <xf numFmtId="0" fontId="4" fillId="0" borderId="0" xfId="0" applyFont="1"/>
    <xf numFmtId="38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11" fillId="0" borderId="0" xfId="0" applyFont="1"/>
    <xf numFmtId="0" fontId="3" fillId="2" borderId="0" xfId="0" applyFont="1" applyFill="1"/>
    <xf numFmtId="0" fontId="0" fillId="2" borderId="0" xfId="0" applyFill="1" applyAlignment="1">
      <alignment horizontal="center"/>
    </xf>
    <xf numFmtId="168" fontId="0" fillId="2" borderId="0" xfId="0" applyNumberFormat="1" applyFill="1" applyAlignment="1">
      <alignment horizontal="center"/>
    </xf>
    <xf numFmtId="0" fontId="1" fillId="4" borderId="1" xfId="0" applyFont="1" applyFill="1" applyBorder="1" applyAlignment="1">
      <alignment horizontal="right"/>
    </xf>
    <xf numFmtId="0" fontId="10" fillId="0" borderId="0" xfId="0" applyFont="1" applyFill="1" applyAlignment="1">
      <alignment horizontal="left" indent="1"/>
    </xf>
    <xf numFmtId="0" fontId="9" fillId="0" borderId="0" xfId="0" applyFont="1" applyFill="1" applyAlignment="1">
      <alignment horizontal="left" indent="1"/>
    </xf>
    <xf numFmtId="168" fontId="9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left"/>
    </xf>
    <xf numFmtId="3" fontId="13" fillId="0" borderId="0" xfId="0" applyNumberFormat="1" applyFont="1" applyFill="1" applyAlignment="1">
      <alignment horizontal="center"/>
    </xf>
    <xf numFmtId="166" fontId="2" fillId="2" borderId="0" xfId="0" applyNumberFormat="1" applyFont="1" applyFill="1" applyAlignment="1">
      <alignment horizontal="left"/>
    </xf>
    <xf numFmtId="10" fontId="2" fillId="2" borderId="0" xfId="0" applyNumberFormat="1" applyFont="1" applyFill="1" applyAlignment="1">
      <alignment horizontal="left"/>
    </xf>
    <xf numFmtId="167" fontId="2" fillId="2" borderId="0" xfId="0" applyNumberFormat="1" applyFont="1" applyFill="1" applyAlignment="1">
      <alignment horizontal="left"/>
    </xf>
    <xf numFmtId="168" fontId="2" fillId="2" borderId="0" xfId="0" applyNumberFormat="1" applyFont="1" applyFill="1" applyAlignment="1">
      <alignment horizontal="left"/>
    </xf>
    <xf numFmtId="169" fontId="2" fillId="2" borderId="0" xfId="0" applyNumberFormat="1" applyFont="1" applyFill="1" applyAlignment="1">
      <alignment horizontal="left"/>
    </xf>
    <xf numFmtId="10" fontId="2" fillId="2" borderId="0" xfId="0" applyNumberFormat="1" applyFont="1" applyFill="1" applyBorder="1" applyAlignment="1">
      <alignment horizontal="left"/>
    </xf>
    <xf numFmtId="8" fontId="2" fillId="2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166" fontId="8" fillId="2" borderId="0" xfId="0" applyNumberFormat="1" applyFont="1" applyFill="1" applyAlignment="1">
      <alignment horizontal="left"/>
    </xf>
    <xf numFmtId="0" fontId="0" fillId="0" borderId="0" xfId="0" applyAlignment="1"/>
    <xf numFmtId="6" fontId="0" fillId="0" borderId="0" xfId="0" applyNumberFormat="1" applyAlignment="1"/>
    <xf numFmtId="0" fontId="0" fillId="2" borderId="0" xfId="0" applyFill="1" applyAlignment="1"/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6" fontId="8" fillId="0" borderId="0" xfId="0" applyNumberFormat="1" applyFont="1" applyFill="1" applyBorder="1" applyAlignment="1">
      <alignment horizontal="left"/>
    </xf>
    <xf numFmtId="6" fontId="8" fillId="2" borderId="0" xfId="0" applyNumberFormat="1" applyFont="1" applyFill="1" applyBorder="1" applyAlignment="1">
      <alignment horizontal="left"/>
    </xf>
    <xf numFmtId="6" fontId="0" fillId="2" borderId="0" xfId="0" applyNumberFormat="1" applyFill="1" applyAlignment="1">
      <alignment horizontal="left"/>
    </xf>
    <xf numFmtId="10" fontId="0" fillId="2" borderId="0" xfId="0" applyNumberFormat="1" applyFill="1" applyAlignment="1">
      <alignment horizontal="left"/>
    </xf>
    <xf numFmtId="170" fontId="0" fillId="2" borderId="0" xfId="0" applyNumberFormat="1" applyFill="1" applyAlignment="1">
      <alignment horizontal="left"/>
    </xf>
    <xf numFmtId="0" fontId="0" fillId="2" borderId="0" xfId="0" applyFont="1" applyFill="1" applyAlignment="1"/>
    <xf numFmtId="0" fontId="0" fillId="3" borderId="0" xfId="0" applyFont="1" applyFill="1" applyAlignment="1"/>
    <xf numFmtId="6" fontId="2" fillId="3" borderId="0" xfId="0" applyNumberFormat="1" applyFont="1" applyFill="1" applyBorder="1" applyAlignment="1">
      <alignment horizontal="left"/>
    </xf>
    <xf numFmtId="8" fontId="0" fillId="2" borderId="0" xfId="0" applyNumberFormat="1" applyFill="1" applyAlignment="1">
      <alignment horizontal="left"/>
    </xf>
    <xf numFmtId="0" fontId="1" fillId="2" borderId="0" xfId="0" applyFont="1" applyFill="1" applyAlignment="1"/>
    <xf numFmtId="10" fontId="8" fillId="2" borderId="0" xfId="0" applyNumberFormat="1" applyFont="1" applyFill="1" applyAlignment="1">
      <alignment horizontal="left"/>
    </xf>
    <xf numFmtId="171" fontId="8" fillId="2" borderId="0" xfId="0" applyNumberFormat="1" applyFont="1" applyFill="1" applyAlignment="1">
      <alignment horizontal="left"/>
    </xf>
    <xf numFmtId="1" fontId="8" fillId="2" borderId="0" xfId="0" applyNumberFormat="1" applyFont="1" applyFill="1" applyBorder="1" applyAlignment="1">
      <alignment horizontal="left"/>
    </xf>
    <xf numFmtId="172" fontId="8" fillId="2" borderId="0" xfId="0" applyNumberFormat="1" applyFont="1" applyFill="1" applyAlignment="1">
      <alignment horizontal="left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left" indent="1"/>
    </xf>
    <xf numFmtId="10" fontId="0" fillId="2" borderId="0" xfId="0" applyNumberFormat="1" applyFill="1" applyAlignment="1">
      <alignment horizontal="center" wrapText="1"/>
    </xf>
    <xf numFmtId="170" fontId="0" fillId="2" borderId="0" xfId="0" applyNumberFormat="1" applyFill="1" applyAlignment="1">
      <alignment horizontal="center" wrapText="1"/>
    </xf>
    <xf numFmtId="6" fontId="0" fillId="0" borderId="0" xfId="0" applyNumberFormat="1"/>
    <xf numFmtId="165" fontId="8" fillId="0" borderId="0" xfId="0" applyNumberFormat="1" applyFont="1" applyFill="1" applyBorder="1" applyAlignment="1">
      <alignment horizontal="left"/>
    </xf>
    <xf numFmtId="164" fontId="8" fillId="0" borderId="0" xfId="0" applyNumberFormat="1" applyFont="1" applyFill="1" applyBorder="1" applyAlignment="1">
      <alignment horizontal="left"/>
    </xf>
    <xf numFmtId="10" fontId="8" fillId="0" borderId="0" xfId="0" applyNumberFormat="1" applyFont="1" applyFill="1" applyBorder="1" applyAlignment="1">
      <alignment horizontal="left"/>
    </xf>
    <xf numFmtId="6" fontId="8" fillId="2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10" fontId="9" fillId="0" borderId="0" xfId="0" applyNumberFormat="1" applyFont="1" applyFill="1"/>
    <xf numFmtId="0" fontId="3" fillId="2" borderId="0" xfId="0" applyFont="1" applyFill="1" applyAlignment="1">
      <alignment horizontal="left"/>
    </xf>
    <xf numFmtId="0" fontId="0" fillId="2" borderId="6" xfId="0" applyFill="1" applyBorder="1"/>
    <xf numFmtId="0" fontId="0" fillId="0" borderId="0" xfId="0" applyFont="1" applyFill="1" applyAlignment="1"/>
    <xf numFmtId="10" fontId="0" fillId="0" borderId="0" xfId="0" applyNumberFormat="1" applyFont="1" applyFill="1" applyAlignment="1">
      <alignment horizontal="left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170" fontId="0" fillId="0" borderId="0" xfId="0" applyNumberFormat="1" applyFont="1" applyFill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left"/>
    </xf>
    <xf numFmtId="9" fontId="2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9" fillId="2" borderId="0" xfId="0" applyFont="1" applyFill="1" applyAlignment="1">
      <alignment horizontal="left"/>
    </xf>
    <xf numFmtId="167" fontId="0" fillId="2" borderId="0" xfId="0" applyNumberFormat="1" applyFill="1" applyAlignment="1">
      <alignment horizontal="center"/>
    </xf>
    <xf numFmtId="0" fontId="1" fillId="2" borderId="0" xfId="0" applyFont="1" applyFill="1" applyAlignment="1">
      <alignment horizontal="left" indent="1"/>
    </xf>
    <xf numFmtId="38" fontId="0" fillId="2" borderId="0" xfId="0" applyNumberFormat="1" applyFill="1" applyAlignment="1">
      <alignment horizontal="center"/>
    </xf>
    <xf numFmtId="38" fontId="0" fillId="2" borderId="0" xfId="0" applyNumberFormat="1" applyFill="1" applyAlignment="1">
      <alignment horizontal="left" indent="1"/>
    </xf>
    <xf numFmtId="37" fontId="0" fillId="2" borderId="0" xfId="0" applyNumberFormat="1" applyFill="1" applyAlignment="1">
      <alignment horizontal="center"/>
    </xf>
    <xf numFmtId="0" fontId="8" fillId="2" borderId="0" xfId="0" applyFont="1" applyFill="1"/>
    <xf numFmtId="0" fontId="8" fillId="2" borderId="0" xfId="0" applyFont="1" applyFill="1" applyAlignment="1">
      <alignment horizontal="left" indent="1"/>
    </xf>
    <xf numFmtId="38" fontId="2" fillId="2" borderId="0" xfId="0" applyNumberFormat="1" applyFont="1" applyFill="1" applyAlignment="1">
      <alignment horizontal="center"/>
    </xf>
    <xf numFmtId="0" fontId="2" fillId="2" borderId="0" xfId="0" applyFont="1" applyFill="1"/>
    <xf numFmtId="10" fontId="8" fillId="2" borderId="0" xfId="0" applyNumberFormat="1" applyFont="1" applyFill="1" applyAlignment="1">
      <alignment horizontal="center"/>
    </xf>
    <xf numFmtId="38" fontId="8" fillId="2" borderId="0" xfId="0" applyNumberFormat="1" applyFont="1" applyFill="1" applyAlignment="1">
      <alignment horizontal="center"/>
    </xf>
    <xf numFmtId="8" fontId="8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13" fillId="2" borderId="0" xfId="0" applyFont="1" applyFill="1" applyAlignment="1">
      <alignment horizontal="left" indent="1"/>
    </xf>
    <xf numFmtId="3" fontId="13" fillId="2" borderId="0" xfId="0" applyNumberFormat="1" applyFont="1" applyFill="1" applyAlignment="1">
      <alignment horizontal="center"/>
    </xf>
    <xf numFmtId="170" fontId="8" fillId="2" borderId="0" xfId="0" applyNumberFormat="1" applyFont="1" applyFill="1" applyAlignment="1">
      <alignment horizontal="center"/>
    </xf>
    <xf numFmtId="38" fontId="9" fillId="2" borderId="0" xfId="0" applyNumberFormat="1" applyFont="1" applyFill="1" applyAlignment="1">
      <alignment horizontal="center"/>
    </xf>
    <xf numFmtId="38" fontId="9" fillId="2" borderId="0" xfId="0" applyNumberFormat="1" applyFont="1" applyFill="1"/>
    <xf numFmtId="3" fontId="0" fillId="2" borderId="0" xfId="0" applyNumberFormat="1" applyFill="1" applyAlignment="1">
      <alignment horizontal="center"/>
    </xf>
    <xf numFmtId="176" fontId="0" fillId="2" borderId="0" xfId="0" applyNumberFormat="1" applyFill="1" applyAlignment="1">
      <alignment horizontal="left"/>
    </xf>
    <xf numFmtId="9" fontId="0" fillId="2" borderId="0" xfId="0" applyNumberFormat="1" applyFill="1"/>
    <xf numFmtId="0" fontId="15" fillId="2" borderId="0" xfId="0" applyFont="1" applyFill="1"/>
    <xf numFmtId="0" fontId="15" fillId="2" borderId="0" xfId="0" applyFont="1" applyFill="1" applyAlignment="1">
      <alignment horizontal="center"/>
    </xf>
    <xf numFmtId="0" fontId="4" fillId="2" borderId="6" xfId="0" applyFont="1" applyFill="1" applyBorder="1"/>
    <xf numFmtId="164" fontId="4" fillId="2" borderId="6" xfId="0" applyNumberFormat="1" applyFont="1" applyFill="1" applyBorder="1"/>
    <xf numFmtId="0" fontId="0" fillId="2" borderId="6" xfId="0" applyFill="1" applyBorder="1" applyAlignment="1">
      <alignment horizontal="center"/>
    </xf>
    <xf numFmtId="175" fontId="8" fillId="2" borderId="0" xfId="0" applyNumberFormat="1" applyFont="1" applyFill="1" applyAlignment="1">
      <alignment horizontal="left"/>
    </xf>
    <xf numFmtId="9" fontId="2" fillId="2" borderId="0" xfId="0" applyNumberFormat="1" applyFont="1" applyFill="1" applyAlignment="1">
      <alignment horizontal="center"/>
    </xf>
    <xf numFmtId="9" fontId="8" fillId="2" borderId="0" xfId="0" applyNumberFormat="1" applyFont="1" applyFill="1" applyAlignment="1">
      <alignment horizontal="center"/>
    </xf>
    <xf numFmtId="10" fontId="0" fillId="2" borderId="0" xfId="0" applyNumberFormat="1" applyFill="1" applyAlignment="1">
      <alignment horizontal="center"/>
    </xf>
    <xf numFmtId="173" fontId="2" fillId="2" borderId="0" xfId="0" applyNumberFormat="1" applyFont="1" applyFill="1"/>
    <xf numFmtId="174" fontId="8" fillId="2" borderId="0" xfId="0" applyNumberFormat="1" applyFont="1" applyFill="1" applyAlignment="1">
      <alignment horizontal="left"/>
    </xf>
    <xf numFmtId="0" fontId="3" fillId="2" borderId="6" xfId="0" applyFont="1" applyFill="1" applyBorder="1"/>
    <xf numFmtId="0" fontId="1" fillId="2" borderId="6" xfId="0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6" fontId="8" fillId="2" borderId="0" xfId="0" applyNumberFormat="1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16" fillId="2" borderId="0" xfId="0" applyFont="1" applyFill="1"/>
    <xf numFmtId="167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73" fontId="2" fillId="0" borderId="0" xfId="0" applyNumberFormat="1" applyFont="1" applyFill="1"/>
    <xf numFmtId="174" fontId="8" fillId="0" borderId="0" xfId="0" applyNumberFormat="1" applyFont="1" applyFill="1" applyAlignment="1">
      <alignment horizontal="left"/>
    </xf>
    <xf numFmtId="9" fontId="2" fillId="0" borderId="0" xfId="0" applyNumberFormat="1" applyFont="1" applyFill="1" applyAlignment="1">
      <alignment horizontal="center"/>
    </xf>
    <xf numFmtId="9" fontId="8" fillId="0" borderId="0" xfId="0" applyNumberFormat="1" applyFont="1" applyFill="1" applyAlignment="1">
      <alignment horizontal="center"/>
    </xf>
    <xf numFmtId="10" fontId="0" fillId="0" borderId="0" xfId="0" applyNumberFormat="1" applyFill="1" applyAlignment="1">
      <alignment horizontal="center"/>
    </xf>
    <xf numFmtId="0" fontId="5" fillId="2" borderId="0" xfId="0" applyFont="1" applyFill="1" applyAlignment="1">
      <alignment horizontal="left"/>
    </xf>
    <xf numFmtId="3" fontId="8" fillId="0" borderId="0" xfId="0" applyNumberFormat="1" applyFont="1" applyFill="1" applyAlignment="1">
      <alignment horizontal="center"/>
    </xf>
    <xf numFmtId="6" fontId="8" fillId="2" borderId="0" xfId="0" applyNumberFormat="1" applyFont="1" applyFill="1"/>
    <xf numFmtId="3" fontId="8" fillId="2" borderId="0" xfId="0" applyNumberFormat="1" applyFont="1" applyFill="1" applyAlignment="1">
      <alignment horizontal="center"/>
    </xf>
    <xf numFmtId="10" fontId="8" fillId="2" borderId="0" xfId="0" applyNumberFormat="1" applyFont="1" applyFill="1"/>
    <xf numFmtId="170" fontId="8" fillId="2" borderId="0" xfId="0" applyNumberFormat="1" applyFont="1" applyFill="1"/>
    <xf numFmtId="10" fontId="8" fillId="2" borderId="0" xfId="0" applyNumberFormat="1" applyFont="1" applyFill="1" applyBorder="1" applyAlignment="1">
      <alignment horizontal="left"/>
    </xf>
    <xf numFmtId="0" fontId="0" fillId="2" borderId="0" xfId="0" applyFont="1" applyFill="1" applyAlignment="1">
      <alignment horizontal="left"/>
    </xf>
    <xf numFmtId="170" fontId="8" fillId="2" borderId="0" xfId="0" applyNumberFormat="1" applyFont="1" applyFill="1" applyBorder="1" applyAlignment="1">
      <alignment horizontal="left"/>
    </xf>
    <xf numFmtId="10" fontId="0" fillId="2" borderId="0" xfId="0" applyNumberFormat="1" applyFont="1" applyFill="1" applyAlignment="1">
      <alignment horizontal="left"/>
    </xf>
    <xf numFmtId="6" fontId="0" fillId="2" borderId="0" xfId="0" applyNumberFormat="1" applyFont="1" applyFill="1" applyAlignment="1">
      <alignment horizontal="left"/>
    </xf>
    <xf numFmtId="170" fontId="0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left"/>
    </xf>
    <xf numFmtId="0" fontId="12" fillId="4" borderId="3" xfId="0" applyFont="1" applyFill="1" applyBorder="1" applyAlignment="1">
      <alignment horizontal="left"/>
    </xf>
    <xf numFmtId="0" fontId="1" fillId="5" borderId="7" xfId="0" applyFont="1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10" xfId="0" applyFill="1" applyBorder="1" applyAlignment="1">
      <alignment horizontal="left" indent="1"/>
    </xf>
    <xf numFmtId="0" fontId="0" fillId="5" borderId="0" xfId="0" applyFill="1" applyBorder="1"/>
    <xf numFmtId="10" fontId="0" fillId="5" borderId="11" xfId="0" applyNumberFormat="1" applyFill="1" applyBorder="1"/>
    <xf numFmtId="177" fontId="0" fillId="5" borderId="11" xfId="0" applyNumberFormat="1" applyFill="1" applyBorder="1"/>
    <xf numFmtId="0" fontId="0" fillId="5" borderId="10" xfId="0" applyFill="1" applyBorder="1"/>
    <xf numFmtId="0" fontId="0" fillId="5" borderId="11" xfId="0" applyFill="1" applyBorder="1"/>
    <xf numFmtId="0" fontId="1" fillId="5" borderId="10" xfId="0" applyFont="1" applyFill="1" applyBorder="1"/>
    <xf numFmtId="0" fontId="0" fillId="5" borderId="12" xfId="0" applyFill="1" applyBorder="1" applyAlignment="1">
      <alignment horizontal="left" indent="1"/>
    </xf>
    <xf numFmtId="0" fontId="0" fillId="5" borderId="13" xfId="0" applyFill="1" applyBorder="1"/>
    <xf numFmtId="164" fontId="0" fillId="5" borderId="14" xfId="0" applyNumberFormat="1" applyFill="1" applyBorder="1"/>
  </cellXfs>
  <cellStyles count="2">
    <cellStyle name="Normal" xfId="0" builtinId="0"/>
    <cellStyle name="Normal 2" xfId="1"/>
  </cellStyles>
  <dxfs count="65">
    <dxf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border>
        <bottom style="thin">
          <color auto="1"/>
        </bottom>
        <vertical/>
        <horizontal/>
      </border>
    </dxf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border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border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</dxf>
    <dxf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</dxf>
    <dxf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ont>
        <color rgb="FF0000FF"/>
      </font>
    </dxf>
    <dxf>
      <font>
        <color theme="0"/>
      </font>
    </dxf>
    <dxf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border>
        <bottom style="thin">
          <color auto="1"/>
        </bottom>
        <vertical/>
        <horizontal/>
      </border>
    </dxf>
    <dxf>
      <font>
        <color theme="0" tint="-4.9989318521683403E-2"/>
      </font>
    </dxf>
    <dxf>
      <fill>
        <patternFill>
          <bgColor theme="0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1"/>
      </font>
      <fill>
        <patternFill>
          <bgColor theme="1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495547</xdr:colOff>
      <xdr:row>1</xdr:row>
      <xdr:rowOff>10582</xdr:rowOff>
    </xdr:from>
    <xdr:to>
      <xdr:col>18</xdr:col>
      <xdr:colOff>489945</xdr:colOff>
      <xdr:row>29</xdr:row>
      <xdr:rowOff>10584</xdr:rowOff>
    </xdr:to>
    <xdr:sp macro="" textlink="">
      <xdr:nvSpPr>
        <xdr:cNvPr id="2" name="TextBox 1"/>
        <xdr:cNvSpPr txBox="1"/>
      </xdr:nvSpPr>
      <xdr:spPr>
        <a:xfrm>
          <a:off x="8709459" y="201082"/>
          <a:ext cx="4835339" cy="537882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Edit blue font cells only.</a:t>
          </a:r>
        </a:p>
        <a:p>
          <a:endParaRPr lang="en-US" sz="1100"/>
        </a:p>
        <a:p>
          <a:r>
            <a:rPr lang="en-US" sz="1100"/>
            <a:t>- Purchase Price Method:</a:t>
          </a:r>
        </a:p>
        <a:p>
          <a:r>
            <a:rPr lang="en-US" sz="1100" baseline="0"/>
            <a:t>    - Portfolio Level = Purchase price set for entire portfolio on this tab (see cell D12)</a:t>
          </a:r>
        </a:p>
        <a:p>
          <a:r>
            <a:rPr lang="en-US" sz="1100" baseline="0"/>
            <a:t>    - Property Level = Purchase price set property-by-property on the 'Property Assumptions' tab (see column G on 'Property Assumptions' tab)</a:t>
          </a:r>
        </a:p>
        <a:p>
          <a:r>
            <a:rPr lang="en-US" sz="1100" baseline="0"/>
            <a:t>    - DCF Value = Purchase price set as present value of property cash flows through the end of analysis period, including exit value, discounted back at discount rate set in cell D10</a:t>
          </a:r>
        </a:p>
        <a:p>
          <a:r>
            <a:rPr lang="en-US" sz="1100" baseline="0"/>
            <a:t>    - Cap Year 1 NOI = Year 1 NOI capitalized at 'Market Cap Rate" set in cell D9 (Year 1 NOI ÷ Market Cap Rate)</a:t>
          </a:r>
        </a:p>
        <a:p>
          <a:r>
            <a:rPr lang="en-US" sz="1100" baseline="0"/>
            <a:t>    - Replacement cost = Replacement cost per square foot (see cell D11) multiplied by the net rentable area (see cell H3)</a:t>
          </a:r>
        </a:p>
        <a:p>
          <a:endParaRPr lang="en-US" sz="1100" baseline="0"/>
        </a:p>
        <a:p>
          <a:r>
            <a:rPr lang="en-US" sz="1100" baseline="0"/>
            <a:t>- Analysis start = The date you anticipate closing on the portfolio</a:t>
          </a:r>
        </a:p>
        <a:p>
          <a:r>
            <a:rPr lang="en-US" sz="1100" baseline="0"/>
            <a:t>- Analysis period = Duration you intend to hold the portfolio</a:t>
          </a:r>
        </a:p>
        <a:p>
          <a:r>
            <a:rPr lang="en-US" sz="1100" baseline="0"/>
            <a:t>- Exit cap year = Determines which year's NOI to be used for calculating exit value (typically either same as analysis period or one year after analysis period)</a:t>
          </a:r>
        </a:p>
        <a:p>
          <a:r>
            <a:rPr lang="en-US" sz="1100" baseline="0"/>
            <a:t>- Exit Cap Rate Growth /Yr. = Used to determine exit cap rate; exit cap rate is calculated as the market cap rate in year 1 plus the exit cap rate growth per year through to the end of the analysis period (e.g. if market cap rate in year 1 is 6.00% and the exit cap rate growth per year is 5 basis points, then the exit cap rate in year 10 would be 6.50%)</a:t>
          </a:r>
        </a:p>
        <a:p>
          <a:r>
            <a:rPr lang="en-US" sz="1100" baseline="0"/>
            <a:t>- Market Cap Rate Yr. 1 = The market cap rate for this type of portfolio in year one; use market reports, professional knowledge, broker guidance to set this value</a:t>
          </a:r>
        </a:p>
        <a:p>
          <a:r>
            <a:rPr lang="en-US" sz="1100" baseline="0"/>
            <a:t>- Discount rate = The discount rate use to calculate the DCF value; often the discount rate is the unlevered rate of return the acquirer wishes to obtain on the investment</a:t>
          </a:r>
        </a:p>
        <a:p>
          <a:r>
            <a:rPr lang="en-US" sz="1100" baseline="0"/>
            <a:t>- Replacement Cost (PSF) = The cost to develop/build this type of portfolio today on a per square foot basis</a:t>
          </a:r>
        </a:p>
        <a:p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100853</xdr:colOff>
          <xdr:row>1</xdr:row>
          <xdr:rowOff>0</xdr:rowOff>
        </xdr:from>
        <xdr:to>
          <xdr:col>10</xdr:col>
          <xdr:colOff>405653</xdr:colOff>
          <xdr:row>9</xdr:row>
          <xdr:rowOff>19050</xdr:rowOff>
        </xdr:to>
        <xdr:pic>
          <xdr:nvPicPr>
            <xdr:cNvPr id="3" name="Picture 2"/>
            <xdr:cNvPicPr>
              <a:picLocks noChangeAspect="1" noChangeArrowheads="1"/>
              <a:extLst>
                <a:ext uri="{84589F7E-364E-4C9E-8A38-B11213B215E9}">
                  <a14:cameraTool cellRange="'Raw Data'!$B$4:$D$11" spid="_x0000_s718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790765" y="190500"/>
              <a:ext cx="1828800" cy="155425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11206</xdr:colOff>
      <xdr:row>1</xdr:row>
      <xdr:rowOff>44823</xdr:rowOff>
    </xdr:from>
    <xdr:to>
      <xdr:col>33</xdr:col>
      <xdr:colOff>403411</xdr:colOff>
      <xdr:row>18</xdr:row>
      <xdr:rowOff>100852</xdr:rowOff>
    </xdr:to>
    <xdr:sp macro="" textlink="">
      <xdr:nvSpPr>
        <xdr:cNvPr id="2" name="TextBox 1"/>
        <xdr:cNvSpPr txBox="1"/>
      </xdr:nvSpPr>
      <xdr:spPr>
        <a:xfrm>
          <a:off x="18041471" y="235323"/>
          <a:ext cx="4538381" cy="349623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Edit dark grey with blue font cells only.</a:t>
          </a:r>
        </a:p>
        <a:p>
          <a:endParaRPr lang="en-US" sz="1100"/>
        </a:p>
        <a:p>
          <a:r>
            <a:rPr lang="en-US" sz="1100"/>
            <a:t>NRA</a:t>
          </a:r>
          <a:r>
            <a:rPr lang="en-US" sz="1100" baseline="0"/>
            <a:t> = Net rentable area</a:t>
          </a:r>
        </a:p>
        <a:p>
          <a:r>
            <a:rPr lang="en-US" sz="1100" baseline="0"/>
            <a:t>Occ. % = Occupancy % at acquisition</a:t>
          </a:r>
        </a:p>
        <a:p>
          <a:r>
            <a:rPr lang="en-US" sz="1100" baseline="0"/>
            <a:t>Price = Input ONLY when Purchase Price Method (see 'Portfolio Summary Tab') is set to 'Property Level'</a:t>
          </a:r>
        </a:p>
        <a:p>
          <a:r>
            <a:rPr lang="en-US" sz="1100" baseline="0"/>
            <a:t>Acquisition Cost = Cost of acquisition (due diligence, closing costs, etc) as a % of purchase price; does NOT included lender fees</a:t>
          </a:r>
        </a:p>
        <a:p>
          <a:r>
            <a:rPr lang="en-US" sz="1100" baseline="0"/>
            <a:t>Interest</a:t>
          </a:r>
        </a:p>
        <a:p>
          <a:r>
            <a:rPr lang="en-US" sz="1100" baseline="0"/>
            <a:t>Interest rate = Fixed mortgage interest rate</a:t>
          </a:r>
        </a:p>
        <a:p>
          <a:r>
            <a:rPr lang="en-US" sz="1100" baseline="0"/>
            <a:t>Years I/O = # of years mortgage loan is interest-only; set to 0 if N/A</a:t>
          </a:r>
        </a:p>
        <a:p>
          <a:r>
            <a:rPr lang="en-US" sz="1100" baseline="0"/>
            <a:t>Amo Period = Amortization period (e.g. 30 years)</a:t>
          </a:r>
        </a:p>
        <a:p>
          <a:r>
            <a:rPr lang="en-US" sz="1100" baseline="0"/>
            <a:t>Term = Years to maturity; this is for reference only - does not affect calculations</a:t>
          </a:r>
        </a:p>
        <a:p>
          <a:r>
            <a:rPr lang="en-US" sz="1100" baseline="0"/>
            <a:t>LTV = Loan-to-value</a:t>
          </a:r>
        </a:p>
        <a:p>
          <a:r>
            <a:rPr lang="en-US" sz="1100" baseline="0"/>
            <a:t>Upfront CapEx = Amount needed to be spent on initial lease-up, deferred maintenance, or other "value-add" initiatives</a:t>
          </a:r>
        </a:p>
        <a:p>
          <a:r>
            <a:rPr lang="en-US" sz="1100" baseline="0"/>
            <a:t>Lender Fees = cost to acquire financing (e.g. 1%)</a:t>
          </a:r>
        </a:p>
        <a:p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</xdr:row>
          <xdr:rowOff>0</xdr:rowOff>
        </xdr:from>
        <xdr:to>
          <xdr:col>26</xdr:col>
          <xdr:colOff>323850</xdr:colOff>
          <xdr:row>8</xdr:row>
          <xdr:rowOff>19050</xdr:rowOff>
        </xdr:to>
        <xdr:pic>
          <xdr:nvPicPr>
            <xdr:cNvPr id="3" name="Picture 2"/>
            <xdr:cNvPicPr>
              <a:picLocks noChangeAspect="1" noChangeArrowheads="1"/>
              <a:extLst>
                <a:ext uri="{84589F7E-364E-4C9E-8A38-B11213B215E9}">
                  <a14:cameraTool cellRange="'Raw Data'!$B$4:$D$11" spid="_x0000_s103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897225" y="190500"/>
              <a:ext cx="1838325" cy="15525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459442</xdr:colOff>
      <xdr:row>1</xdr:row>
      <xdr:rowOff>11206</xdr:rowOff>
    </xdr:from>
    <xdr:to>
      <xdr:col>24</xdr:col>
      <xdr:colOff>149413</xdr:colOff>
      <xdr:row>13</xdr:row>
      <xdr:rowOff>33617</xdr:rowOff>
    </xdr:to>
    <xdr:sp macro="" textlink="">
      <xdr:nvSpPr>
        <xdr:cNvPr id="2" name="TextBox 1"/>
        <xdr:cNvSpPr txBox="1"/>
      </xdr:nvSpPr>
      <xdr:spPr>
        <a:xfrm>
          <a:off x="13368618" y="201706"/>
          <a:ext cx="4889501" cy="231961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Edit blue font cells only. ONLY edit EGR,</a:t>
          </a:r>
          <a:r>
            <a:rPr lang="en-US" sz="1100" b="1" baseline="0"/>
            <a:t> NOI, and CFO rows</a:t>
          </a:r>
          <a:endParaRPr lang="en-US" sz="1100"/>
        </a:p>
        <a:p>
          <a:r>
            <a:rPr lang="en-US" sz="1100"/>
            <a:t>Purchase Price Method:</a:t>
          </a:r>
        </a:p>
        <a:p>
          <a:r>
            <a:rPr lang="en-US" sz="1100" baseline="0"/>
            <a:t>    - EGR = Effective Gross Revenue (Potential gross income less vacancy/credit loss plus expense reimbursements</a:t>
          </a:r>
        </a:p>
        <a:p>
          <a:r>
            <a:rPr lang="en-US" sz="1100" baseline="0"/>
            <a:t>    - NOI = Net Operating Income (Effective gross income less operating expenses)</a:t>
          </a:r>
        </a:p>
        <a:p>
          <a:r>
            <a:rPr lang="en-US" sz="1100" baseline="0"/>
            <a:t>    - CFO = Cash Flow from Operations (Net operating income less capital expenditures)</a:t>
          </a:r>
        </a:p>
        <a:p>
          <a:endParaRPr lang="en-US" sz="1100" baseline="0"/>
        </a:p>
        <a:p>
          <a:r>
            <a:rPr lang="en-US" sz="1100" baseline="0"/>
            <a:t>All figures are BEFORE financing, taxes</a:t>
          </a:r>
        </a:p>
        <a:p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123264</xdr:colOff>
          <xdr:row>1</xdr:row>
          <xdr:rowOff>11205</xdr:rowOff>
        </xdr:from>
        <xdr:to>
          <xdr:col>16</xdr:col>
          <xdr:colOff>247089</xdr:colOff>
          <xdr:row>9</xdr:row>
          <xdr:rowOff>30255</xdr:rowOff>
        </xdr:to>
        <xdr:pic>
          <xdr:nvPicPr>
            <xdr:cNvPr id="3" name="Picture 2"/>
            <xdr:cNvPicPr>
              <a:picLocks noChangeAspect="1" noChangeArrowheads="1"/>
              <a:extLst>
                <a:ext uri="{84589F7E-364E-4C9E-8A38-B11213B215E9}">
                  <a14:cameraTool cellRange="'Raw Data'!$B$4:$D$11" spid="_x0000_s922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317940" y="201705"/>
              <a:ext cx="1838325" cy="155425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773206</xdr:colOff>
          <xdr:row>2</xdr:row>
          <xdr:rowOff>89647</xdr:rowOff>
        </xdr:from>
        <xdr:to>
          <xdr:col>15</xdr:col>
          <xdr:colOff>911039</xdr:colOff>
          <xdr:row>10</xdr:row>
          <xdr:rowOff>100853</xdr:rowOff>
        </xdr:to>
        <xdr:pic>
          <xdr:nvPicPr>
            <xdr:cNvPr id="2" name="Picture 1"/>
            <xdr:cNvPicPr>
              <a:picLocks noChangeAspect="1" noChangeArrowheads="1"/>
              <a:extLst>
                <a:ext uri="{84589F7E-364E-4C9E-8A38-B11213B215E9}">
                  <a14:cameraTool cellRange="'Raw Data'!$B$4:$D$11" spid="_x0000_s1229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2035118" y="481853"/>
              <a:ext cx="1841127" cy="155761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112059</xdr:colOff>
          <xdr:row>1</xdr:row>
          <xdr:rowOff>0</xdr:rowOff>
        </xdr:from>
        <xdr:to>
          <xdr:col>16</xdr:col>
          <xdr:colOff>312084</xdr:colOff>
          <xdr:row>9</xdr:row>
          <xdr:rowOff>19050</xdr:rowOff>
        </xdr:to>
        <xdr:pic>
          <xdr:nvPicPr>
            <xdr:cNvPr id="2" name="Picture 1"/>
            <xdr:cNvPicPr>
              <a:picLocks noChangeAspect="1" noChangeArrowheads="1"/>
              <a:extLst>
                <a:ext uri="{84589F7E-364E-4C9E-8A38-B11213B215E9}">
                  <a14:cameraTool cellRange="'Raw Data'!$B$4:$D$11" spid="_x0000_s1331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3368618" y="190500"/>
              <a:ext cx="1836084" cy="155425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515470</xdr:colOff>
      <xdr:row>1</xdr:row>
      <xdr:rowOff>11207</xdr:rowOff>
    </xdr:from>
    <xdr:to>
      <xdr:col>24</xdr:col>
      <xdr:colOff>227854</xdr:colOff>
      <xdr:row>9</xdr:row>
      <xdr:rowOff>145677</xdr:rowOff>
    </xdr:to>
    <xdr:sp macro="" textlink="">
      <xdr:nvSpPr>
        <xdr:cNvPr id="2" name="TextBox 1"/>
        <xdr:cNvSpPr txBox="1"/>
      </xdr:nvSpPr>
      <xdr:spPr>
        <a:xfrm>
          <a:off x="15699441" y="212913"/>
          <a:ext cx="4889501" cy="168088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To use this sheet:</a:t>
          </a:r>
        </a:p>
        <a:p>
          <a:endParaRPr lang="en-US" sz="1100" b="1" baseline="0"/>
        </a:p>
        <a:p>
          <a:r>
            <a:rPr lang="en-US" sz="1100" b="0" baseline="0"/>
            <a:t>1) To see property level returns, change 'Property' (cell E2) to the property you'd like to analysis</a:t>
          </a:r>
        </a:p>
        <a:p>
          <a:r>
            <a:rPr lang="en-US" sz="1100" b="0" baseline="0"/>
            <a:t>2) To see all property metrics at once (see bottom table), </a:t>
          </a:r>
          <a:r>
            <a:rPr lang="en-US" sz="1100" b="1" u="sng" baseline="0"/>
            <a:t>press F9</a:t>
          </a:r>
        </a:p>
        <a:p>
          <a:endParaRPr lang="en-US" sz="1100"/>
        </a:p>
      </xdr:txBody>
    </xdr:sp>
    <xdr:clientData/>
  </xdr:twoCellAnchor>
  <xdr:twoCellAnchor>
    <xdr:from>
      <xdr:col>10</xdr:col>
      <xdr:colOff>67237</xdr:colOff>
      <xdr:row>39</xdr:row>
      <xdr:rowOff>0</xdr:rowOff>
    </xdr:from>
    <xdr:to>
      <xdr:col>13</xdr:col>
      <xdr:colOff>851648</xdr:colOff>
      <xdr:row>40</xdr:row>
      <xdr:rowOff>89647</xdr:rowOff>
    </xdr:to>
    <xdr:sp macro="" textlink="">
      <xdr:nvSpPr>
        <xdr:cNvPr id="3" name="TextBox 2"/>
        <xdr:cNvSpPr txBox="1"/>
      </xdr:nvSpPr>
      <xdr:spPr>
        <a:xfrm>
          <a:off x="9838766" y="7463118"/>
          <a:ext cx="3787588" cy="29135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Press F9 to update this table</a:t>
          </a:r>
          <a:endParaRPr lang="en-US" sz="1100" b="1" u="sng" baseline="0"/>
        </a:p>
        <a:p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112059</xdr:colOff>
          <xdr:row>1</xdr:row>
          <xdr:rowOff>11205</xdr:rowOff>
        </xdr:from>
        <xdr:to>
          <xdr:col>16</xdr:col>
          <xdr:colOff>407334</xdr:colOff>
          <xdr:row>9</xdr:row>
          <xdr:rowOff>20730</xdr:rowOff>
        </xdr:to>
        <xdr:pic>
          <xdr:nvPicPr>
            <xdr:cNvPr id="4" name="Picture 3"/>
            <xdr:cNvPicPr>
              <a:picLocks noChangeAspect="1" noChangeArrowheads="1"/>
              <a:extLst>
                <a:ext uri="{84589F7E-364E-4C9E-8A38-B11213B215E9}">
                  <a14:cameraTool cellRange="'Raw Data'!$B$4:$D$11" spid="_x0000_s1024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3749618" y="212911"/>
              <a:ext cx="1841687" cy="155593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100852</xdr:colOff>
          <xdr:row>1</xdr:row>
          <xdr:rowOff>0</xdr:rowOff>
        </xdr:from>
        <xdr:to>
          <xdr:col>15</xdr:col>
          <xdr:colOff>358027</xdr:colOff>
          <xdr:row>9</xdr:row>
          <xdr:rowOff>19050</xdr:rowOff>
        </xdr:to>
        <xdr:pic>
          <xdr:nvPicPr>
            <xdr:cNvPr id="3" name="Picture 2"/>
            <xdr:cNvPicPr>
              <a:picLocks noChangeAspect="1" noChangeArrowheads="1"/>
              <a:extLst>
                <a:ext uri="{84589F7E-364E-4C9E-8A38-B11213B215E9}">
                  <a14:cameraTool cellRange="'Raw Data'!$B$4:$D$11" spid="_x0000_s1434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051676" y="190500"/>
              <a:ext cx="1848410" cy="155425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and%20Group%20FTP/Dropbox/Spencer%20Documents/USAA/Misc/Misc.%20Portfolio%20Return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4- Quadrant"/>
      <sheetName val="Argus CF"/>
      <sheetName val="DD Memo Charts"/>
      <sheetName val="Return Variances"/>
      <sheetName val="Portfolio Summary"/>
      <sheetName val="Rollup - Property Level Returns"/>
      <sheetName val="Rollup - Investor Level Returns"/>
      <sheetName val="Investment Summary Returns"/>
      <sheetName val="Assump."/>
      <sheetName val="RR"/>
      <sheetName val="Spivey Station Mortgage"/>
      <sheetName val="Assump. (2)"/>
      <sheetName val="RR (2)"/>
      <sheetName val="Spivey Station Surgery Mort"/>
      <sheetName val="Assump. (3)"/>
      <sheetName val="RR (3)"/>
      <sheetName val="330 Physicians Center Mortgage"/>
      <sheetName val="Assump. (4)"/>
      <sheetName val="RR (4)"/>
      <sheetName val="Midtown Medical Plaza Mortgage"/>
      <sheetName val="Assump. (5)"/>
      <sheetName val="RR (5)"/>
      <sheetName val="Main St."/>
      <sheetName val="Presbyterian Mortgage"/>
      <sheetName val="110 Broad St."/>
      <sheetName val="Assump. (6)"/>
      <sheetName val="RR (6)"/>
      <sheetName val="Metroview Mortgage"/>
      <sheetName val="Hollybrook Town Ctr"/>
      <sheetName val="Assump. (7)"/>
      <sheetName val="RR (7)"/>
      <sheetName val="Matthews Mortgage"/>
      <sheetName val="Cline's Power Ctr"/>
      <sheetName val="Assump. (8)"/>
      <sheetName val="RR (8)"/>
      <sheetName val="CFs (8)"/>
      <sheetName val="Huntersville Mortgage"/>
      <sheetName val="Huntersville Physicians Plaza"/>
      <sheetName val="Assump. (9)"/>
      <sheetName val="RR (9)"/>
      <sheetName val="CFs (9)"/>
      <sheetName val="Medwest Mortgage"/>
      <sheetName val="Medwest Outpatient Center"/>
      <sheetName val="UNUSED SHEETS TO RIGHT"/>
      <sheetName val="Assump. (10)"/>
      <sheetName val="RR (10)"/>
      <sheetName val="CFs (10)"/>
      <sheetName val="10"/>
      <sheetName val="Assump. (11)"/>
      <sheetName val="RR (11)"/>
      <sheetName val="CFs (11)"/>
      <sheetName val="11"/>
      <sheetName val="Assump. (12)"/>
      <sheetName val="RR (12)"/>
      <sheetName val="CFs (12)"/>
      <sheetName val="12"/>
      <sheetName val="Assump. (13)"/>
      <sheetName val="RR (13)"/>
      <sheetName val="CFs (13)"/>
      <sheetName val="13"/>
      <sheetName val="Assump. (14)"/>
      <sheetName val="RR (14)"/>
      <sheetName val="CFs (14)"/>
      <sheetName val="14"/>
      <sheetName val="Assump. (15)"/>
      <sheetName val="RR (15)"/>
      <sheetName val="CFs (15)"/>
      <sheetName val="15"/>
      <sheetName val="Assump. (16)"/>
      <sheetName val="RR (16)"/>
      <sheetName val="CFs (16)"/>
      <sheetName val="16"/>
      <sheetName val="Assump. (17)"/>
      <sheetName val="RR (17)"/>
      <sheetName val="CFs (17)"/>
      <sheetName val="17"/>
      <sheetName val="Assump. (18)"/>
      <sheetName val="RR (18)"/>
      <sheetName val="CFs (18)"/>
      <sheetName val="18"/>
      <sheetName val="Assump. (19)"/>
      <sheetName val="RR (19)"/>
      <sheetName val="CFs (19)"/>
      <sheetName val="19"/>
      <sheetName val="Assump. (20)"/>
      <sheetName val="RR (20)"/>
      <sheetName val="CFs (20)"/>
      <sheetName val="20"/>
      <sheetName val="Adjustable Porfolio"/>
      <sheetName val="Portfolio Returns with Fe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44">
          <cell r="F344" t="str">
            <v>On</v>
          </cell>
        </row>
        <row r="345">
          <cell r="F345" t="str">
            <v>Off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I45"/>
  <sheetViews>
    <sheetView showGridLines="0" zoomScale="85" zoomScaleNormal="85" zoomScaleSheetLayoutView="90" workbookViewId="0"/>
  </sheetViews>
  <sheetFormatPr defaultRowHeight="15" x14ac:dyDescent="0.25"/>
  <cols>
    <col min="1" max="1" width="2.7109375" style="118" customWidth="1"/>
    <col min="2" max="2" width="23.28515625" style="118" customWidth="1"/>
    <col min="3" max="3" width="4.7109375" style="118" customWidth="1"/>
    <col min="4" max="4" width="24.85546875" style="119" customWidth="1"/>
    <col min="5" max="5" width="2.7109375" style="118" customWidth="1"/>
    <col min="6" max="6" width="23.28515625" style="118" customWidth="1"/>
    <col min="7" max="7" width="4.7109375" style="118" customWidth="1"/>
    <col min="8" max="8" width="14" style="119" bestFit="1" customWidth="1"/>
    <col min="9" max="9" width="13.85546875" style="118" bestFit="1" customWidth="1"/>
    <col min="10" max="16384" width="9.140625" style="118"/>
  </cols>
  <sheetData>
    <row r="1" spans="2:9" s="83" customFormat="1" x14ac:dyDescent="0.25">
      <c r="D1" s="81"/>
      <c r="H1" s="81"/>
    </row>
    <row r="2" spans="2:9" s="83" customFormat="1" ht="15.75" x14ac:dyDescent="0.25">
      <c r="B2" s="184" t="s">
        <v>26</v>
      </c>
      <c r="C2" s="184"/>
      <c r="D2" s="184"/>
      <c r="E2" s="85"/>
      <c r="F2" s="85"/>
      <c r="G2" s="85"/>
      <c r="H2" s="86"/>
    </row>
    <row r="3" spans="2:9" s="83" customFormat="1" x14ac:dyDescent="0.25">
      <c r="B3" s="82" t="s">
        <v>71</v>
      </c>
      <c r="C3" s="82"/>
      <c r="D3" s="74" t="s">
        <v>71</v>
      </c>
      <c r="E3" s="85"/>
      <c r="F3" s="85" t="s">
        <v>83</v>
      </c>
      <c r="G3" s="85"/>
      <c r="H3" s="107">
        <f>SUM('Property Assumptions'!E5:E34)</f>
        <v>350000</v>
      </c>
    </row>
    <row r="4" spans="2:9" s="83" customFormat="1" x14ac:dyDescent="0.25">
      <c r="B4" s="85" t="s">
        <v>90</v>
      </c>
      <c r="C4" s="85"/>
      <c r="D4" s="87" t="s">
        <v>129</v>
      </c>
      <c r="E4" s="85"/>
      <c r="F4" s="85" t="s">
        <v>84</v>
      </c>
      <c r="G4" s="85"/>
      <c r="H4" s="108">
        <f>SUMPRODUCT('Property Assumptions'!$E$5:$E$34,'Property Assumptions'!$F$5:$F$34)/'Portfolio Summary'!H3</f>
        <v>0.85</v>
      </c>
    </row>
    <row r="5" spans="2:9" s="83" customFormat="1" x14ac:dyDescent="0.25">
      <c r="B5" s="82" t="s">
        <v>17</v>
      </c>
      <c r="C5" s="82"/>
      <c r="D5" s="76">
        <v>42370</v>
      </c>
      <c r="E5" s="85"/>
      <c r="F5" s="85" t="s">
        <v>77</v>
      </c>
      <c r="G5" s="85"/>
      <c r="H5" s="90">
        <f>Purchase_Price</f>
        <v>97500000</v>
      </c>
    </row>
    <row r="6" spans="2:9" s="83" customFormat="1" x14ac:dyDescent="0.25">
      <c r="B6" s="82" t="s">
        <v>18</v>
      </c>
      <c r="C6" s="82"/>
      <c r="D6" s="74">
        <v>10</v>
      </c>
      <c r="E6" s="85"/>
      <c r="F6" s="85" t="s">
        <v>57</v>
      </c>
      <c r="G6" s="85"/>
      <c r="H6" s="88">
        <f>SUM('Property Assumptions'!U5:U34)</f>
        <v>0</v>
      </c>
    </row>
    <row r="7" spans="2:9" s="83" customFormat="1" x14ac:dyDescent="0.25">
      <c r="B7" s="82" t="s">
        <v>81</v>
      </c>
      <c r="C7" s="82"/>
      <c r="D7" s="77">
        <v>11</v>
      </c>
      <c r="E7" s="85"/>
      <c r="F7" s="85" t="s">
        <v>95</v>
      </c>
      <c r="G7" s="85"/>
      <c r="H7" s="109">
        <f>SUMPRODUCT('Property Assumptions'!$G$5:$G$34,'Property Assumptions'!K5:K34)/'Portfolio Summary'!$D$16</f>
        <v>8.2051282051282051E-3</v>
      </c>
    </row>
    <row r="8" spans="2:9" s="83" customFormat="1" x14ac:dyDescent="0.25">
      <c r="B8" s="82" t="s">
        <v>80</v>
      </c>
      <c r="C8" s="82"/>
      <c r="D8" s="78">
        <v>5</v>
      </c>
      <c r="E8" s="85"/>
      <c r="F8" s="85" t="s">
        <v>85</v>
      </c>
      <c r="G8" s="85"/>
      <c r="H8" s="88">
        <f>Purchase_Price+(Purchase_Price*'Portfolio Summary'!H7)+'Portfolio Summary'!H6</f>
        <v>98300000</v>
      </c>
    </row>
    <row r="9" spans="2:9" s="83" customFormat="1" x14ac:dyDescent="0.25">
      <c r="B9" s="82" t="s">
        <v>79</v>
      </c>
      <c r="C9" s="82"/>
      <c r="D9" s="79">
        <v>6.5000000000000002E-2</v>
      </c>
      <c r="E9" s="85"/>
      <c r="F9" s="85" t="s">
        <v>93</v>
      </c>
      <c r="G9" s="85"/>
      <c r="H9" s="91">
        <f>H11/H5</f>
        <v>7.6615384615384613E-2</v>
      </c>
    </row>
    <row r="10" spans="2:9" s="83" customFormat="1" x14ac:dyDescent="0.25">
      <c r="B10" s="82" t="s">
        <v>68</v>
      </c>
      <c r="C10" s="82"/>
      <c r="D10" s="75">
        <v>0.08</v>
      </c>
      <c r="E10" s="85"/>
      <c r="F10" s="85" t="s">
        <v>86</v>
      </c>
      <c r="G10" s="85"/>
      <c r="H10" s="96">
        <f>Purchase_Price/Portfolio_SF</f>
        <v>278.57142857142856</v>
      </c>
    </row>
    <row r="11" spans="2:9" s="83" customFormat="1" x14ac:dyDescent="0.25">
      <c r="B11" s="82" t="s">
        <v>70</v>
      </c>
      <c r="C11" s="82"/>
      <c r="D11" s="80">
        <v>250</v>
      </c>
      <c r="E11" s="85"/>
      <c r="F11" s="85" t="s">
        <v>87</v>
      </c>
      <c r="G11" s="85"/>
      <c r="H11" s="90">
        <f>'Portfolio Level Returns'!D7</f>
        <v>7470000</v>
      </c>
    </row>
    <row r="12" spans="2:9" s="83" customFormat="1" x14ac:dyDescent="0.25">
      <c r="B12" s="94" t="s">
        <v>92</v>
      </c>
      <c r="C12" s="94"/>
      <c r="D12" s="95">
        <v>97500000</v>
      </c>
      <c r="E12" s="85"/>
      <c r="F12" s="85" t="s">
        <v>88</v>
      </c>
      <c r="G12" s="85"/>
      <c r="H12" s="90">
        <f>'Portfolio Level Returns'!F7</f>
        <v>7848168.7499999981</v>
      </c>
    </row>
    <row r="13" spans="2:9" s="83" customFormat="1" x14ac:dyDescent="0.25">
      <c r="B13" s="82"/>
      <c r="C13" s="82"/>
      <c r="D13" s="80"/>
      <c r="E13" s="85"/>
      <c r="F13" s="82" t="s">
        <v>82</v>
      </c>
      <c r="G13" s="82"/>
      <c r="H13" s="100">
        <f>COUNT('Property Assumptions'!$B$5:$B$39)</f>
        <v>2</v>
      </c>
    </row>
    <row r="14" spans="2:9" s="83" customFormat="1" x14ac:dyDescent="0.25">
      <c r="G14" s="81"/>
      <c r="H14" s="81"/>
    </row>
    <row r="15" spans="2:9" s="83" customFormat="1" ht="15.75" x14ac:dyDescent="0.25">
      <c r="B15" s="184" t="s">
        <v>76</v>
      </c>
      <c r="C15" s="184"/>
      <c r="D15" s="184"/>
      <c r="F15" s="184" t="s">
        <v>16</v>
      </c>
      <c r="G15" s="184"/>
      <c r="H15" s="184"/>
    </row>
    <row r="16" spans="2:9" s="83" customFormat="1" x14ac:dyDescent="0.25">
      <c r="B16" s="85" t="s">
        <v>77</v>
      </c>
      <c r="C16" s="85"/>
      <c r="D16" s="89">
        <f>IF(D4="Property Level",SUM('Property Assumptions'!G5:G34),IF(D4="Portfolio Level",D12,IF(D4="DCF Value",D17,IF(D4="Cap Year 1 NOI",H11/Exit_Cap_Yr_1,D18))))</f>
        <v>97500000</v>
      </c>
      <c r="F16" s="85" t="s">
        <v>38</v>
      </c>
      <c r="G16" s="85"/>
      <c r="H16" s="110">
        <f>SUM('Property Assumptions'!$O$5:$O$34)</f>
        <v>48000000</v>
      </c>
      <c r="I16" s="84"/>
    </row>
    <row r="17" spans="1:8" s="83" customFormat="1" x14ac:dyDescent="0.25">
      <c r="B17" s="85" t="s">
        <v>91</v>
      </c>
      <c r="C17" s="85"/>
      <c r="D17" s="88">
        <f>NPV(Discount_Rate,'Portfolio Level Returns'!$D$18:$R$18)</f>
        <v>110723717.25655313</v>
      </c>
      <c r="F17" s="93" t="s">
        <v>98</v>
      </c>
      <c r="G17" s="93"/>
      <c r="H17" s="110">
        <f>'Portfolio Summary'!H16*'Portfolio Summary'!H26</f>
        <v>480000</v>
      </c>
    </row>
    <row r="18" spans="1:8" s="83" customFormat="1" x14ac:dyDescent="0.25">
      <c r="B18" s="85" t="s">
        <v>78</v>
      </c>
      <c r="C18" s="85"/>
      <c r="D18" s="90">
        <f>'Portfolio Summary'!D11*Portfolio_SF</f>
        <v>87500000</v>
      </c>
      <c r="F18" s="85" t="s">
        <v>39</v>
      </c>
      <c r="G18" s="85"/>
      <c r="H18" s="110">
        <f>H16-H17</f>
        <v>47520000</v>
      </c>
    </row>
    <row r="19" spans="1:8" s="83" customFormat="1" ht="15.75" x14ac:dyDescent="0.25">
      <c r="B19" s="72"/>
      <c r="C19" s="72"/>
      <c r="D19" s="72"/>
      <c r="F19" s="85" t="s">
        <v>94</v>
      </c>
      <c r="G19" s="85"/>
      <c r="H19" s="110">
        <f>(D16+(D16*H7))-Debt+H6</f>
        <v>50780000</v>
      </c>
    </row>
    <row r="20" spans="1:8" s="83" customFormat="1" ht="15.75" x14ac:dyDescent="0.25">
      <c r="B20" s="85" t="s">
        <v>72</v>
      </c>
      <c r="C20" s="85"/>
      <c r="D20" s="91">
        <f ca="1">HLOOKUP(Analysis_Period,'Portfolio Level Returns'!$D$3:$T$39,18,FALSE)</f>
        <v>9.6529777558214569E-2</v>
      </c>
      <c r="F20" s="72"/>
      <c r="G20" s="72"/>
      <c r="H20" s="72"/>
    </row>
    <row r="21" spans="1:8" s="83" customFormat="1" x14ac:dyDescent="0.25">
      <c r="B21" s="85" t="s">
        <v>50</v>
      </c>
      <c r="C21" s="85"/>
      <c r="D21" s="92">
        <f>HLOOKUP(Analysis_Period,'Portfolio Level Returns'!$D$3:$T$39,19,FALSE)</f>
        <v>2.1233157470273278</v>
      </c>
      <c r="F21" s="85" t="s">
        <v>11</v>
      </c>
      <c r="G21" s="85"/>
      <c r="H21" s="98">
        <f>SUMPRODUCT('Property Assumptions'!$O$5:$O$34,'Property Assumptions'!$L$5:$L$34)/'Portfolio Summary'!$H$16</f>
        <v>4.4999999999999998E-2</v>
      </c>
    </row>
    <row r="22" spans="1:8" s="83" customFormat="1" x14ac:dyDescent="0.25">
      <c r="B22" s="85" t="s">
        <v>37</v>
      </c>
      <c r="C22" s="85"/>
      <c r="D22" s="91">
        <f>HLOOKUP(Analysis_Period,'Portfolio Level Returns'!$D$3:$T$39,15,FALSE)</f>
        <v>7.2366096169878852E-2</v>
      </c>
      <c r="F22" s="85" t="s">
        <v>12</v>
      </c>
      <c r="G22" s="85"/>
      <c r="H22" s="101">
        <f>SUMPRODUCT('Property Assumptions'!$O$5:$O$34,'Property Assumptions'!$P$5:$P$34)/'Portfolio Summary'!$H$16</f>
        <v>2.4375</v>
      </c>
    </row>
    <row r="23" spans="1:8" s="83" customFormat="1" x14ac:dyDescent="0.25">
      <c r="B23" s="85"/>
      <c r="C23" s="85"/>
      <c r="D23" s="86"/>
      <c r="F23" s="85" t="s">
        <v>96</v>
      </c>
      <c r="G23" s="85"/>
      <c r="H23" s="99">
        <f>SUMPRODUCT('Property Assumptions'!$O$5:$O$34,'Property Assumptions'!$Q$5:$Q$34)/'Portfolio Summary'!$H$16</f>
        <v>30</v>
      </c>
    </row>
    <row r="24" spans="1:8" s="83" customFormat="1" x14ac:dyDescent="0.25">
      <c r="B24" s="85" t="s">
        <v>73</v>
      </c>
      <c r="C24" s="85"/>
      <c r="D24" s="91">
        <f ca="1">HLOOKUP(Analysis_Period,'Portfolio Level Returns'!$D$3:$T$39,36,FALSE)</f>
        <v>0.1324224616089904</v>
      </c>
      <c r="F24" s="85" t="s">
        <v>14</v>
      </c>
      <c r="G24" s="85"/>
      <c r="H24" s="101">
        <f>SUMPRODUCT('Property Assumptions'!$O$5:$O$34,'Property Assumptions'!$R$5:$R$34)/'Portfolio Summary'!$H$16</f>
        <v>10</v>
      </c>
    </row>
    <row r="25" spans="1:8" s="83" customFormat="1" x14ac:dyDescent="0.25">
      <c r="B25" s="85" t="s">
        <v>51</v>
      </c>
      <c r="C25" s="85"/>
      <c r="D25" s="92">
        <f>HLOOKUP(Analysis_Period,'Portfolio Level Returns'!$D$3:$T$39,37,FALSE)</f>
        <v>2.764681510144773</v>
      </c>
      <c r="F25" s="85" t="s">
        <v>15</v>
      </c>
      <c r="G25" s="85"/>
      <c r="H25" s="98">
        <f>H16/Purchase_Price</f>
        <v>0.49230769230769234</v>
      </c>
    </row>
    <row r="26" spans="1:8" s="83" customFormat="1" x14ac:dyDescent="0.25">
      <c r="B26" s="85" t="s">
        <v>47</v>
      </c>
      <c r="C26" s="85"/>
      <c r="D26" s="91">
        <f>HLOOKUP(Analysis_Period,'Portfolio Level Returns'!$D$3:$T$39,34,FALSE)</f>
        <v>8.4509625859228638E-2</v>
      </c>
      <c r="F26" s="85" t="s">
        <v>97</v>
      </c>
      <c r="G26" s="85"/>
      <c r="H26" s="98">
        <f>SUMPRODUCT('Property Assumptions'!$O$5:$O$34,'Property Assumptions'!$W$5:$W$34)/'Portfolio Summary'!$H$16</f>
        <v>0.01</v>
      </c>
    </row>
    <row r="27" spans="1:8" s="83" customFormat="1" x14ac:dyDescent="0.25">
      <c r="B27" s="85"/>
      <c r="C27" s="85"/>
      <c r="D27" s="86"/>
      <c r="F27" s="85"/>
      <c r="G27" s="85"/>
      <c r="H27" s="86"/>
    </row>
    <row r="28" spans="1:8" s="83" customFormat="1" x14ac:dyDescent="0.25">
      <c r="B28" s="85" t="s">
        <v>74</v>
      </c>
      <c r="C28" s="85"/>
      <c r="D28" s="92">
        <f>MIN('Portfolio Level Returns'!$D$27:$R$27)</f>
        <v>2.6418024255649217</v>
      </c>
      <c r="F28" s="85"/>
      <c r="G28" s="85"/>
      <c r="H28" s="86"/>
    </row>
    <row r="29" spans="1:8" s="83" customFormat="1" x14ac:dyDescent="0.25">
      <c r="B29" s="85" t="s">
        <v>75</v>
      </c>
      <c r="C29" s="85"/>
      <c r="D29" s="91">
        <f>MIN('Portfolio Level Returns'!$D$28:$R$28)</f>
        <v>0.15609716270507284</v>
      </c>
      <c r="F29" s="85"/>
      <c r="G29" s="85"/>
      <c r="H29" s="86"/>
    </row>
    <row r="30" spans="1:8" s="83" customFormat="1" x14ac:dyDescent="0.25">
      <c r="D30" s="81"/>
      <c r="H30" s="81"/>
    </row>
    <row r="31" spans="1:8" s="122" customFormat="1" ht="15.75" x14ac:dyDescent="0.25">
      <c r="A31" s="83"/>
      <c r="B31" s="46" t="s">
        <v>112</v>
      </c>
      <c r="C31" s="46"/>
      <c r="D31" s="97" t="s">
        <v>111</v>
      </c>
      <c r="E31" s="97"/>
      <c r="F31" s="97" t="s">
        <v>158</v>
      </c>
      <c r="G31" s="46"/>
      <c r="H31" s="114"/>
    </row>
    <row r="32" spans="1:8" x14ac:dyDescent="0.25">
      <c r="B32" s="93" t="s">
        <v>61</v>
      </c>
      <c r="C32" s="93"/>
      <c r="D32" s="178">
        <f>'Investor Level Returns'!D26</f>
        <v>0.28765938488035481</v>
      </c>
      <c r="E32" s="93"/>
      <c r="F32" s="181">
        <f>'Investor Level Returns'!D19</f>
        <v>0.1240502170841209</v>
      </c>
      <c r="G32" s="93"/>
      <c r="H32" s="179"/>
    </row>
    <row r="33" spans="2:8" x14ac:dyDescent="0.25">
      <c r="B33" s="93" t="s">
        <v>113</v>
      </c>
      <c r="C33" s="93"/>
      <c r="D33" s="89">
        <f>'Investor Level Returns'!D16</f>
        <v>127586918.07854506</v>
      </c>
      <c r="E33" s="93"/>
      <c r="F33" s="182">
        <f>'Investor Level Returns'!D23</f>
        <v>12803609.00660651</v>
      </c>
      <c r="G33" s="93"/>
      <c r="H33" s="179"/>
    </row>
    <row r="34" spans="2:8" x14ac:dyDescent="0.25">
      <c r="B34" s="93" t="s">
        <v>114</v>
      </c>
      <c r="C34" s="93"/>
      <c r="D34" s="89">
        <f>'Investor Level Returns'!D17</f>
        <v>49510500</v>
      </c>
      <c r="E34" s="93"/>
      <c r="F34" s="182">
        <f>'Investor Level Returns'!D24</f>
        <v>1269500</v>
      </c>
      <c r="G34" s="93"/>
      <c r="H34" s="179"/>
    </row>
    <row r="35" spans="2:8" x14ac:dyDescent="0.25">
      <c r="B35" s="179" t="s">
        <v>115</v>
      </c>
      <c r="C35" s="179"/>
      <c r="D35" s="89">
        <f>'Investor Level Returns'!D18</f>
        <v>78076418.078545064</v>
      </c>
      <c r="E35" s="93"/>
      <c r="F35" s="182">
        <f>'Investor Level Returns'!D25</f>
        <v>11534109.00660651</v>
      </c>
      <c r="G35" s="93"/>
      <c r="H35" s="179"/>
    </row>
    <row r="36" spans="2:8" x14ac:dyDescent="0.25">
      <c r="B36" s="93" t="s">
        <v>116</v>
      </c>
      <c r="C36" s="93"/>
      <c r="D36" s="180">
        <f>'Investor Level Returns'!D20</f>
        <v>2.576966867200797</v>
      </c>
      <c r="E36" s="93"/>
      <c r="F36" s="183">
        <f>'Investor Level Returns'!D27</f>
        <v>10.085552584959835</v>
      </c>
      <c r="G36" s="93"/>
      <c r="H36" s="179"/>
    </row>
    <row r="37" spans="2:8" x14ac:dyDescent="0.25">
      <c r="B37" s="116"/>
      <c r="C37" s="116"/>
      <c r="D37" s="121"/>
    </row>
    <row r="38" spans="2:8" x14ac:dyDescent="0.25">
      <c r="B38" s="116"/>
      <c r="C38" s="116"/>
      <c r="D38" s="117"/>
    </row>
    <row r="39" spans="2:8" x14ac:dyDescent="0.25">
      <c r="B39" s="116"/>
      <c r="C39" s="116"/>
      <c r="D39" s="120"/>
    </row>
    <row r="40" spans="2:8" x14ac:dyDescent="0.25">
      <c r="B40" s="116"/>
      <c r="C40" s="116"/>
      <c r="D40" s="117"/>
    </row>
    <row r="41" spans="2:8" x14ac:dyDescent="0.25">
      <c r="B41" s="116"/>
      <c r="C41" s="116"/>
      <c r="D41" s="121"/>
    </row>
    <row r="42" spans="2:8" x14ac:dyDescent="0.25">
      <c r="B42" s="116"/>
      <c r="C42" s="116"/>
      <c r="D42" s="117"/>
    </row>
    <row r="43" spans="2:8" x14ac:dyDescent="0.25">
      <c r="B43" s="116"/>
      <c r="C43" s="116"/>
      <c r="D43" s="120"/>
    </row>
    <row r="44" spans="2:8" x14ac:dyDescent="0.25">
      <c r="B44" s="116"/>
      <c r="C44" s="116"/>
      <c r="D44" s="121"/>
    </row>
    <row r="45" spans="2:8" x14ac:dyDescent="0.25">
      <c r="B45" s="116"/>
      <c r="C45" s="116"/>
      <c r="D45" s="117"/>
    </row>
  </sheetData>
  <mergeCells count="3">
    <mergeCell ref="B2:D2"/>
    <mergeCell ref="B15:D15"/>
    <mergeCell ref="F15:H15"/>
  </mergeCells>
  <conditionalFormatting sqref="B12:D12">
    <cfRule type="expression" dxfId="64" priority="17">
      <formula>$D$4="Portfolio Level"</formula>
    </cfRule>
  </conditionalFormatting>
  <conditionalFormatting sqref="D12">
    <cfRule type="expression" dxfId="63" priority="16">
      <formula>$D$4&lt;&gt;"Portfolio Level"</formula>
    </cfRule>
  </conditionalFormatting>
  <conditionalFormatting sqref="F17:G17">
    <cfRule type="expression" dxfId="62" priority="15">
      <formula>$D$4="Portfolio Level"</formula>
    </cfRule>
  </conditionalFormatting>
  <conditionalFormatting sqref="H3">
    <cfRule type="expression" dxfId="61" priority="13">
      <formula>$B3&lt;&gt;""</formula>
    </cfRule>
  </conditionalFormatting>
  <conditionalFormatting sqref="H4">
    <cfRule type="expression" dxfId="60" priority="12">
      <formula>$B4&lt;&gt;""</formula>
    </cfRule>
  </conditionalFormatting>
  <conditionalFormatting sqref="H8">
    <cfRule type="expression" dxfId="59" priority="11">
      <formula>$B6&lt;&gt;""</formula>
    </cfRule>
  </conditionalFormatting>
  <conditionalFormatting sqref="H6">
    <cfRule type="expression" dxfId="58" priority="10">
      <formula>$B5&lt;&gt;""</formula>
    </cfRule>
  </conditionalFormatting>
  <conditionalFormatting sqref="D17">
    <cfRule type="expression" dxfId="57" priority="9">
      <formula>$B17&lt;&gt;""</formula>
    </cfRule>
  </conditionalFormatting>
  <conditionalFormatting sqref="H7">
    <cfRule type="expression" dxfId="56" priority="8">
      <formula>$B6&lt;&gt;""</formula>
    </cfRule>
  </conditionalFormatting>
  <conditionalFormatting sqref="H21">
    <cfRule type="expression" dxfId="55" priority="7">
      <formula>$B21&lt;&gt;""</formula>
    </cfRule>
  </conditionalFormatting>
  <conditionalFormatting sqref="H22">
    <cfRule type="expression" dxfId="54" priority="6">
      <formula>$B22&lt;&gt;""</formula>
    </cfRule>
  </conditionalFormatting>
  <conditionalFormatting sqref="H23">
    <cfRule type="expression" dxfId="53" priority="5">
      <formula>$B23&lt;&gt;""</formula>
    </cfRule>
  </conditionalFormatting>
  <conditionalFormatting sqref="H24">
    <cfRule type="expression" dxfId="52" priority="4">
      <formula>$B24&lt;&gt;""</formula>
    </cfRule>
  </conditionalFormatting>
  <conditionalFormatting sqref="H25">
    <cfRule type="expression" dxfId="51" priority="3">
      <formula>$B25&lt;&gt;""</formula>
    </cfRule>
  </conditionalFormatting>
  <conditionalFormatting sqref="H26">
    <cfRule type="expression" dxfId="50" priority="2">
      <formula>$B26&lt;&gt;""</formula>
    </cfRule>
  </conditionalFormatting>
  <dataValidations count="3">
    <dataValidation type="whole" allowBlank="1" showInputMessage="1" showErrorMessage="1" errorTitle="Invalid Year" error="Mininum of 1 year._x000a_Maximum of 15 years." sqref="D6">
      <formula1>1</formula1>
      <formula2>15</formula2>
    </dataValidation>
    <dataValidation type="list" allowBlank="1" showInputMessage="1" showErrorMessage="1" sqref="D4">
      <formula1>"Portfolio Level, Property Level, DCF Value, Cap Year 1 NOI, Replacement Cost"</formula1>
    </dataValidation>
    <dataValidation type="decimal" operator="greaterThan" allowBlank="1" showInputMessage="1" showErrorMessage="1" sqref="D11 D13">
      <formula1>0</formula1>
    </dataValidation>
  </dataValidations>
  <pageMargins left="0.7" right="0.7" top="0.75" bottom="0.75" header="0.3" footer="0.3"/>
  <pageSetup scale="92" orientation="portrait" horizontalDpi="4294967294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AC41"/>
  <sheetViews>
    <sheetView showGridLines="0" tabSelected="1" zoomScale="85" zoomScaleNormal="85" zoomScaleSheetLayoutView="85" workbookViewId="0">
      <selection activeCell="P5" sqref="P5"/>
    </sheetView>
  </sheetViews>
  <sheetFormatPr defaultRowHeight="15" x14ac:dyDescent="0.25"/>
  <cols>
    <col min="1" max="1" width="2.7109375" customWidth="1"/>
    <col min="2" max="2" width="2.85546875" customWidth="1"/>
    <col min="3" max="3" width="24" bestFit="1" customWidth="1"/>
    <col min="4" max="4" width="12.85546875" bestFit="1" customWidth="1"/>
    <col min="5" max="5" width="11.42578125" bestFit="1" customWidth="1"/>
    <col min="6" max="6" width="7.140625" bestFit="1" customWidth="1"/>
    <col min="7" max="7" width="12.7109375" bestFit="1" customWidth="1"/>
    <col min="8" max="8" width="8.7109375" bestFit="1" customWidth="1"/>
    <col min="9" max="9" width="8.42578125" bestFit="1" customWidth="1"/>
    <col min="10" max="10" width="12.85546875" bestFit="1" customWidth="1"/>
    <col min="11" max="11" width="10.28515625" customWidth="1"/>
    <col min="12" max="12" width="12.85546875" bestFit="1" customWidth="1"/>
    <col min="13" max="13" width="14.28515625" bestFit="1" customWidth="1"/>
    <col min="14" max="14" width="12.140625" bestFit="1" customWidth="1"/>
    <col min="15" max="15" width="12.140625" customWidth="1"/>
    <col min="16" max="17" width="10.7109375" bestFit="1" customWidth="1"/>
    <col min="18" max="18" width="8.5703125" bestFit="1" customWidth="1"/>
    <col min="19" max="19" width="7.140625" customWidth="1"/>
    <col min="20" max="20" width="13.140625" bestFit="1" customWidth="1"/>
    <col min="21" max="21" width="10.85546875" bestFit="1" customWidth="1"/>
    <col min="22" max="22" width="8.5703125" hidden="1" customWidth="1"/>
    <col min="24" max="24" width="2.7109375" customWidth="1"/>
    <col min="25" max="25" width="10.85546875" style="38" customWidth="1"/>
    <col min="26" max="26" width="11.85546875" style="38" bestFit="1" customWidth="1"/>
    <col min="27" max="27" width="8.7109375" style="38" bestFit="1" customWidth="1"/>
    <col min="28" max="28" width="8.42578125" style="38" bestFit="1" customWidth="1"/>
    <col min="29" max="29" width="9" style="38" bestFit="1" customWidth="1"/>
    <col min="30" max="30" width="11.7109375" bestFit="1" customWidth="1"/>
    <col min="31" max="31" width="12.42578125" bestFit="1" customWidth="1"/>
    <col min="32" max="32" width="9.140625" bestFit="1" customWidth="1"/>
    <col min="33" max="33" width="11.42578125" bestFit="1" customWidth="1"/>
    <col min="34" max="34" width="7.5703125" bestFit="1" customWidth="1"/>
    <col min="35" max="35" width="7.140625" customWidth="1"/>
    <col min="36" max="36" width="11.7109375" bestFit="1" customWidth="1"/>
  </cols>
  <sheetData>
    <row r="1" spans="1:29" x14ac:dyDescent="0.25">
      <c r="J1" s="106"/>
      <c r="T1" s="106"/>
      <c r="Y1"/>
      <c r="Z1"/>
      <c r="AA1"/>
      <c r="AB1"/>
      <c r="AC1"/>
    </row>
    <row r="2" spans="1:29" ht="15.75" x14ac:dyDescent="0.25">
      <c r="B2" s="8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6"/>
      <c r="S2" s="6"/>
      <c r="T2" s="6"/>
      <c r="U2" s="6"/>
      <c r="V2" s="6"/>
      <c r="W2" s="6"/>
      <c r="Z2"/>
      <c r="AA2"/>
      <c r="AB2"/>
      <c r="AC2"/>
    </row>
    <row r="3" spans="1:29" x14ac:dyDescent="0.25">
      <c r="B3" s="185" t="s">
        <v>6</v>
      </c>
      <c r="C3" s="185"/>
      <c r="D3" s="185"/>
      <c r="E3" s="185"/>
      <c r="F3" s="185"/>
      <c r="G3" s="186" t="s">
        <v>10</v>
      </c>
      <c r="H3" s="185"/>
      <c r="I3" s="185"/>
      <c r="J3" s="185"/>
      <c r="K3" s="187"/>
      <c r="L3" s="186" t="s">
        <v>16</v>
      </c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7"/>
      <c r="Z3"/>
      <c r="AA3"/>
      <c r="AB3"/>
      <c r="AC3"/>
    </row>
    <row r="4" spans="1:29" s="2" customFormat="1" ht="30" x14ac:dyDescent="0.25">
      <c r="A4"/>
      <c r="B4" s="23" t="s">
        <v>1</v>
      </c>
      <c r="C4" s="39" t="s">
        <v>2</v>
      </c>
      <c r="D4" s="23" t="s">
        <v>4</v>
      </c>
      <c r="E4" s="23" t="s">
        <v>3</v>
      </c>
      <c r="F4" s="23" t="s">
        <v>5</v>
      </c>
      <c r="G4" s="112" t="s">
        <v>7</v>
      </c>
      <c r="H4" s="23" t="s">
        <v>8</v>
      </c>
      <c r="I4" s="23" t="s">
        <v>9</v>
      </c>
      <c r="J4" s="23" t="s">
        <v>103</v>
      </c>
      <c r="K4" s="111" t="s">
        <v>104</v>
      </c>
      <c r="L4" s="112" t="s">
        <v>11</v>
      </c>
      <c r="M4" s="23" t="s">
        <v>54</v>
      </c>
      <c r="N4" s="23" t="s">
        <v>55</v>
      </c>
      <c r="O4" s="23" t="s">
        <v>56</v>
      </c>
      <c r="P4" s="23" t="s">
        <v>12</v>
      </c>
      <c r="Q4" s="23" t="s">
        <v>13</v>
      </c>
      <c r="R4" s="23" t="s">
        <v>14</v>
      </c>
      <c r="S4" s="23" t="s">
        <v>15</v>
      </c>
      <c r="T4" s="23" t="s">
        <v>66</v>
      </c>
      <c r="U4" s="23" t="s">
        <v>57</v>
      </c>
      <c r="V4" s="23"/>
      <c r="W4" s="111" t="s">
        <v>105</v>
      </c>
    </row>
    <row r="5" spans="1:29" x14ac:dyDescent="0.25">
      <c r="B5" s="22">
        <v>1</v>
      </c>
      <c r="C5" s="3" t="s">
        <v>107</v>
      </c>
      <c r="D5" s="3" t="s">
        <v>4</v>
      </c>
      <c r="E5" s="24">
        <v>50000</v>
      </c>
      <c r="F5" s="25">
        <v>0.85</v>
      </c>
      <c r="G5" s="58">
        <v>15000000</v>
      </c>
      <c r="H5" s="37">
        <f t="shared" ref="H5:H34" si="0">IF(G5="","",VLOOKUP(C5,CashFlow_Table,2,FALSE)/G5)</f>
        <v>8.3000000000000004E-2</v>
      </c>
      <c r="I5" s="27">
        <f t="shared" ref="I5:I19" si="1">IF(G5="","",G5/E5)</f>
        <v>300</v>
      </c>
      <c r="J5" s="26">
        <f>IF(B5="","",T5-O5+(O5*W5))</f>
        <v>6240000</v>
      </c>
      <c r="K5" s="28">
        <v>0.01</v>
      </c>
      <c r="L5" s="29">
        <v>4.4999999999999998E-2</v>
      </c>
      <c r="M5" s="54">
        <f t="shared" ref="M5:M19" si="2">IF(B5="","",-PMT(L5/12,(Q5-P5)*12,O5)*12)</f>
        <v>547220.13461195119</v>
      </c>
      <c r="N5" s="53">
        <f t="shared" ref="N5:N19" si="3">IF(B5="","",O5*L5)</f>
        <v>405000</v>
      </c>
      <c r="O5" s="53">
        <f t="shared" ref="O5:O19" si="4">IF(C5="","",S5*G5)</f>
        <v>9000000</v>
      </c>
      <c r="P5" s="30">
        <v>0</v>
      </c>
      <c r="Q5" s="30">
        <v>30</v>
      </c>
      <c r="R5" s="30">
        <v>10</v>
      </c>
      <c r="S5" s="29">
        <v>0.6</v>
      </c>
      <c r="T5" s="53">
        <f>IF(B5="","",G5+(G5*K5)+U5)</f>
        <v>15150000</v>
      </c>
      <c r="U5" s="52">
        <v>0</v>
      </c>
      <c r="V5" s="53"/>
      <c r="W5" s="29">
        <v>0.01</v>
      </c>
      <c r="Z5"/>
      <c r="AA5"/>
      <c r="AB5"/>
      <c r="AC5"/>
    </row>
    <row r="6" spans="1:29" x14ac:dyDescent="0.25">
      <c r="B6" s="22">
        <f t="shared" ref="B6:B19" si="5">IF(C6="","",B5+1)</f>
        <v>2</v>
      </c>
      <c r="C6" s="3" t="s">
        <v>128</v>
      </c>
      <c r="D6" s="3" t="s">
        <v>4</v>
      </c>
      <c r="E6" s="24">
        <v>300000</v>
      </c>
      <c r="F6" s="25">
        <v>0.85</v>
      </c>
      <c r="G6" s="58">
        <v>65000000</v>
      </c>
      <c r="H6" s="37">
        <f t="shared" si="0"/>
        <v>9.5769230769230773E-2</v>
      </c>
      <c r="I6" s="27">
        <f t="shared" si="1"/>
        <v>216.66666666666666</v>
      </c>
      <c r="J6" s="26">
        <f t="shared" ref="J6:J34" si="6">IF(B6="","",T6-O6+(O6*W6))</f>
        <v>27040000</v>
      </c>
      <c r="K6" s="28">
        <v>0.01</v>
      </c>
      <c r="L6" s="29">
        <v>4.4999999999999998E-2</v>
      </c>
      <c r="M6" s="54">
        <f t="shared" si="2"/>
        <v>2497811.8825078718</v>
      </c>
      <c r="N6" s="53">
        <f t="shared" si="3"/>
        <v>1755000</v>
      </c>
      <c r="O6" s="53">
        <f t="shared" si="4"/>
        <v>39000000</v>
      </c>
      <c r="P6" s="30">
        <v>3</v>
      </c>
      <c r="Q6" s="30">
        <v>30</v>
      </c>
      <c r="R6" s="30">
        <v>10</v>
      </c>
      <c r="S6" s="29">
        <v>0.6</v>
      </c>
      <c r="T6" s="53">
        <f t="shared" ref="T6:T34" si="7">IF(B6="","",G6+(G6*K6)+U6)</f>
        <v>65650000</v>
      </c>
      <c r="U6" s="52">
        <v>0</v>
      </c>
      <c r="V6" s="53"/>
      <c r="W6" s="29">
        <v>0.01</v>
      </c>
      <c r="Z6"/>
      <c r="AA6"/>
      <c r="AB6"/>
      <c r="AC6"/>
    </row>
    <row r="7" spans="1:29" x14ac:dyDescent="0.25">
      <c r="B7" s="22" t="str">
        <f t="shared" si="5"/>
        <v/>
      </c>
      <c r="C7" s="3"/>
      <c r="D7" s="3"/>
      <c r="E7" s="24"/>
      <c r="F7" s="25"/>
      <c r="G7" s="58"/>
      <c r="H7" s="37" t="str">
        <f t="shared" si="0"/>
        <v/>
      </c>
      <c r="I7" s="27" t="str">
        <f t="shared" si="1"/>
        <v/>
      </c>
      <c r="J7" s="26" t="str">
        <f t="shared" si="6"/>
        <v/>
      </c>
      <c r="K7" s="28"/>
      <c r="L7" s="29"/>
      <c r="M7" s="54" t="str">
        <f t="shared" si="2"/>
        <v/>
      </c>
      <c r="N7" s="53" t="str">
        <f t="shared" si="3"/>
        <v/>
      </c>
      <c r="O7" s="53" t="str">
        <f t="shared" si="4"/>
        <v/>
      </c>
      <c r="P7" s="30"/>
      <c r="Q7" s="30"/>
      <c r="R7" s="30"/>
      <c r="S7" s="29"/>
      <c r="T7" s="53" t="str">
        <f t="shared" si="7"/>
        <v/>
      </c>
      <c r="U7" s="52"/>
      <c r="V7" s="53"/>
      <c r="W7" s="29"/>
      <c r="Y7"/>
      <c r="Z7"/>
      <c r="AA7"/>
      <c r="AB7"/>
      <c r="AC7"/>
    </row>
    <row r="8" spans="1:29" x14ac:dyDescent="0.25">
      <c r="B8" s="22" t="str">
        <f t="shared" si="5"/>
        <v/>
      </c>
      <c r="C8" s="3"/>
      <c r="D8" s="3"/>
      <c r="E8" s="24"/>
      <c r="F8" s="25"/>
      <c r="G8" s="58"/>
      <c r="H8" s="37" t="str">
        <f t="shared" si="0"/>
        <v/>
      </c>
      <c r="I8" s="27" t="str">
        <f t="shared" si="1"/>
        <v/>
      </c>
      <c r="J8" s="26" t="str">
        <f t="shared" si="6"/>
        <v/>
      </c>
      <c r="K8" s="28"/>
      <c r="L8" s="29"/>
      <c r="M8" s="54" t="str">
        <f t="shared" si="2"/>
        <v/>
      </c>
      <c r="N8" s="53" t="str">
        <f t="shared" si="3"/>
        <v/>
      </c>
      <c r="O8" s="53" t="str">
        <f t="shared" si="4"/>
        <v/>
      </c>
      <c r="P8" s="30"/>
      <c r="Q8" s="30"/>
      <c r="R8" s="30"/>
      <c r="S8" s="29"/>
      <c r="T8" s="53" t="str">
        <f t="shared" si="7"/>
        <v/>
      </c>
      <c r="U8" s="52"/>
      <c r="V8" s="53"/>
      <c r="W8" s="29"/>
      <c r="Y8"/>
      <c r="Z8"/>
      <c r="AA8"/>
      <c r="AB8"/>
      <c r="AC8"/>
    </row>
    <row r="9" spans="1:29" x14ac:dyDescent="0.25">
      <c r="B9" s="22" t="str">
        <f t="shared" si="5"/>
        <v/>
      </c>
      <c r="C9" s="3"/>
      <c r="D9" s="3"/>
      <c r="E9" s="24"/>
      <c r="F9" s="25"/>
      <c r="G9" s="58"/>
      <c r="H9" s="37" t="str">
        <f t="shared" si="0"/>
        <v/>
      </c>
      <c r="I9" s="27" t="str">
        <f t="shared" si="1"/>
        <v/>
      </c>
      <c r="J9" s="26" t="str">
        <f t="shared" si="6"/>
        <v/>
      </c>
      <c r="K9" s="28"/>
      <c r="L9" s="29"/>
      <c r="M9" s="54" t="str">
        <f t="shared" si="2"/>
        <v/>
      </c>
      <c r="N9" s="53" t="str">
        <f t="shared" si="3"/>
        <v/>
      </c>
      <c r="O9" s="53" t="str">
        <f t="shared" si="4"/>
        <v/>
      </c>
      <c r="P9" s="30"/>
      <c r="Q9" s="30"/>
      <c r="R9" s="30"/>
      <c r="S9" s="29"/>
      <c r="T9" s="53" t="str">
        <f t="shared" si="7"/>
        <v/>
      </c>
      <c r="U9" s="52"/>
      <c r="V9" s="53"/>
      <c r="W9" s="29"/>
      <c r="Y9"/>
      <c r="Z9"/>
      <c r="AA9"/>
      <c r="AB9"/>
      <c r="AC9"/>
    </row>
    <row r="10" spans="1:29" x14ac:dyDescent="0.25">
      <c r="B10" s="22" t="str">
        <f t="shared" si="5"/>
        <v/>
      </c>
      <c r="C10" s="3"/>
      <c r="D10" s="3"/>
      <c r="E10" s="24"/>
      <c r="F10" s="25"/>
      <c r="G10" s="58"/>
      <c r="H10" s="37" t="str">
        <f t="shared" si="0"/>
        <v/>
      </c>
      <c r="I10" s="27" t="str">
        <f t="shared" si="1"/>
        <v/>
      </c>
      <c r="J10" s="26" t="str">
        <f t="shared" si="6"/>
        <v/>
      </c>
      <c r="K10" s="28"/>
      <c r="L10" s="29"/>
      <c r="M10" s="54" t="str">
        <f t="shared" si="2"/>
        <v/>
      </c>
      <c r="N10" s="53" t="str">
        <f t="shared" si="3"/>
        <v/>
      </c>
      <c r="O10" s="53" t="str">
        <f t="shared" si="4"/>
        <v/>
      </c>
      <c r="P10" s="30"/>
      <c r="Q10" s="30"/>
      <c r="R10" s="30"/>
      <c r="S10" s="29"/>
      <c r="T10" s="53" t="str">
        <f t="shared" si="7"/>
        <v/>
      </c>
      <c r="U10" s="52"/>
      <c r="V10" s="53"/>
      <c r="W10" s="29"/>
      <c r="Y10"/>
      <c r="Z10"/>
      <c r="AA10"/>
      <c r="AB10"/>
      <c r="AC10"/>
    </row>
    <row r="11" spans="1:29" x14ac:dyDescent="0.25">
      <c r="B11" s="22" t="str">
        <f t="shared" si="5"/>
        <v/>
      </c>
      <c r="C11" s="3"/>
      <c r="D11" s="3"/>
      <c r="E11" s="24"/>
      <c r="F11" s="25"/>
      <c r="G11" s="58"/>
      <c r="H11" s="37" t="str">
        <f t="shared" si="0"/>
        <v/>
      </c>
      <c r="I11" s="27" t="str">
        <f t="shared" si="1"/>
        <v/>
      </c>
      <c r="J11" s="26" t="str">
        <f t="shared" si="6"/>
        <v/>
      </c>
      <c r="K11" s="28"/>
      <c r="L11" s="29"/>
      <c r="M11" s="54" t="str">
        <f t="shared" si="2"/>
        <v/>
      </c>
      <c r="N11" s="53" t="str">
        <f t="shared" si="3"/>
        <v/>
      </c>
      <c r="O11" s="53" t="str">
        <f t="shared" si="4"/>
        <v/>
      </c>
      <c r="P11" s="30"/>
      <c r="Q11" s="30"/>
      <c r="R11" s="30"/>
      <c r="S11" s="29"/>
      <c r="T11" s="53" t="str">
        <f t="shared" si="7"/>
        <v/>
      </c>
      <c r="U11" s="52"/>
      <c r="V11" s="53"/>
      <c r="W11" s="29"/>
      <c r="Y11"/>
      <c r="Z11"/>
      <c r="AA11"/>
      <c r="AB11"/>
      <c r="AC11"/>
    </row>
    <row r="12" spans="1:29" x14ac:dyDescent="0.25">
      <c r="B12" s="22" t="str">
        <f t="shared" si="5"/>
        <v/>
      </c>
      <c r="C12" s="3"/>
      <c r="D12" s="3"/>
      <c r="E12" s="24"/>
      <c r="F12" s="25"/>
      <c r="G12" s="58"/>
      <c r="H12" s="37" t="str">
        <f t="shared" si="0"/>
        <v/>
      </c>
      <c r="I12" s="27" t="str">
        <f t="shared" si="1"/>
        <v/>
      </c>
      <c r="J12" s="26" t="str">
        <f t="shared" si="6"/>
        <v/>
      </c>
      <c r="K12" s="28"/>
      <c r="L12" s="29"/>
      <c r="M12" s="54" t="str">
        <f t="shared" si="2"/>
        <v/>
      </c>
      <c r="N12" s="53" t="str">
        <f t="shared" si="3"/>
        <v/>
      </c>
      <c r="O12" s="53" t="str">
        <f t="shared" si="4"/>
        <v/>
      </c>
      <c r="P12" s="30"/>
      <c r="Q12" s="30"/>
      <c r="R12" s="30"/>
      <c r="S12" s="29"/>
      <c r="T12" s="53" t="str">
        <f t="shared" si="7"/>
        <v/>
      </c>
      <c r="U12" s="52"/>
      <c r="V12" s="53"/>
      <c r="W12" s="29"/>
      <c r="Y12"/>
      <c r="Z12"/>
      <c r="AA12"/>
      <c r="AB12"/>
      <c r="AC12"/>
    </row>
    <row r="13" spans="1:29" x14ac:dyDescent="0.25">
      <c r="B13" s="22" t="str">
        <f t="shared" si="5"/>
        <v/>
      </c>
      <c r="C13" s="3"/>
      <c r="D13" s="3"/>
      <c r="E13" s="24"/>
      <c r="F13" s="25"/>
      <c r="G13" s="58"/>
      <c r="H13" s="37" t="str">
        <f t="shared" si="0"/>
        <v/>
      </c>
      <c r="I13" s="27" t="str">
        <f t="shared" si="1"/>
        <v/>
      </c>
      <c r="J13" s="26" t="str">
        <f t="shared" si="6"/>
        <v/>
      </c>
      <c r="K13" s="28"/>
      <c r="L13" s="29"/>
      <c r="M13" s="54" t="str">
        <f t="shared" si="2"/>
        <v/>
      </c>
      <c r="N13" s="53" t="str">
        <f t="shared" si="3"/>
        <v/>
      </c>
      <c r="O13" s="53" t="str">
        <f t="shared" si="4"/>
        <v/>
      </c>
      <c r="P13" s="30"/>
      <c r="Q13" s="30"/>
      <c r="R13" s="30"/>
      <c r="S13" s="29"/>
      <c r="T13" s="53" t="str">
        <f t="shared" si="7"/>
        <v/>
      </c>
      <c r="U13" s="52"/>
      <c r="V13" s="53"/>
      <c r="W13" s="29"/>
    </row>
    <row r="14" spans="1:29" x14ac:dyDescent="0.25">
      <c r="B14" s="22" t="str">
        <f t="shared" si="5"/>
        <v/>
      </c>
      <c r="C14" s="3"/>
      <c r="D14" s="3"/>
      <c r="E14" s="24"/>
      <c r="F14" s="25"/>
      <c r="G14" s="58"/>
      <c r="H14" s="37" t="str">
        <f t="shared" si="0"/>
        <v/>
      </c>
      <c r="I14" s="27" t="str">
        <f t="shared" si="1"/>
        <v/>
      </c>
      <c r="J14" s="26" t="str">
        <f t="shared" si="6"/>
        <v/>
      </c>
      <c r="K14" s="28"/>
      <c r="L14" s="29"/>
      <c r="M14" s="54" t="str">
        <f t="shared" si="2"/>
        <v/>
      </c>
      <c r="N14" s="53" t="str">
        <f t="shared" si="3"/>
        <v/>
      </c>
      <c r="O14" s="53" t="str">
        <f t="shared" si="4"/>
        <v/>
      </c>
      <c r="P14" s="30"/>
      <c r="Q14" s="30"/>
      <c r="R14" s="30"/>
      <c r="S14" s="29"/>
      <c r="T14" s="53" t="str">
        <f t="shared" si="7"/>
        <v/>
      </c>
      <c r="U14" s="52"/>
      <c r="V14" s="53"/>
      <c r="W14" s="29"/>
    </row>
    <row r="15" spans="1:29" x14ac:dyDescent="0.25">
      <c r="B15" s="22" t="str">
        <f t="shared" si="5"/>
        <v/>
      </c>
      <c r="C15" s="3"/>
      <c r="D15" s="3"/>
      <c r="E15" s="24"/>
      <c r="F15" s="25"/>
      <c r="G15" s="58"/>
      <c r="H15" s="37" t="str">
        <f t="shared" si="0"/>
        <v/>
      </c>
      <c r="I15" s="27" t="str">
        <f t="shared" si="1"/>
        <v/>
      </c>
      <c r="J15" s="26" t="str">
        <f t="shared" si="6"/>
        <v/>
      </c>
      <c r="K15" s="28"/>
      <c r="L15" s="29"/>
      <c r="M15" s="54" t="str">
        <f t="shared" si="2"/>
        <v/>
      </c>
      <c r="N15" s="53" t="str">
        <f t="shared" si="3"/>
        <v/>
      </c>
      <c r="O15" s="53" t="str">
        <f t="shared" si="4"/>
        <v/>
      </c>
      <c r="P15" s="30"/>
      <c r="Q15" s="30"/>
      <c r="R15" s="30"/>
      <c r="S15" s="29"/>
      <c r="T15" s="53" t="str">
        <f t="shared" si="7"/>
        <v/>
      </c>
      <c r="U15" s="52"/>
      <c r="V15" s="53"/>
      <c r="W15" s="29"/>
    </row>
    <row r="16" spans="1:29" x14ac:dyDescent="0.25">
      <c r="B16" s="22" t="str">
        <f t="shared" si="5"/>
        <v/>
      </c>
      <c r="C16" s="3"/>
      <c r="D16" s="3"/>
      <c r="E16" s="24"/>
      <c r="F16" s="25"/>
      <c r="G16" s="58"/>
      <c r="H16" s="37" t="str">
        <f t="shared" si="0"/>
        <v/>
      </c>
      <c r="I16" s="27" t="str">
        <f t="shared" si="1"/>
        <v/>
      </c>
      <c r="J16" s="26" t="str">
        <f t="shared" si="6"/>
        <v/>
      </c>
      <c r="K16" s="28"/>
      <c r="L16" s="29"/>
      <c r="M16" s="54" t="str">
        <f t="shared" si="2"/>
        <v/>
      </c>
      <c r="N16" s="53" t="str">
        <f t="shared" si="3"/>
        <v/>
      </c>
      <c r="O16" s="53" t="str">
        <f t="shared" si="4"/>
        <v/>
      </c>
      <c r="P16" s="30"/>
      <c r="Q16" s="30"/>
      <c r="R16" s="30"/>
      <c r="S16" s="29"/>
      <c r="T16" s="53" t="str">
        <f t="shared" si="7"/>
        <v/>
      </c>
      <c r="U16" s="52"/>
      <c r="V16" s="53"/>
      <c r="W16" s="29"/>
    </row>
    <row r="17" spans="2:23" x14ac:dyDescent="0.25">
      <c r="B17" s="22" t="str">
        <f t="shared" si="5"/>
        <v/>
      </c>
      <c r="C17" s="3"/>
      <c r="D17" s="3"/>
      <c r="E17" s="24"/>
      <c r="F17" s="25"/>
      <c r="G17" s="58"/>
      <c r="H17" s="37" t="str">
        <f t="shared" si="0"/>
        <v/>
      </c>
      <c r="I17" s="27" t="str">
        <f t="shared" si="1"/>
        <v/>
      </c>
      <c r="J17" s="26" t="str">
        <f t="shared" si="6"/>
        <v/>
      </c>
      <c r="K17" s="28"/>
      <c r="L17" s="29"/>
      <c r="M17" s="54" t="str">
        <f t="shared" si="2"/>
        <v/>
      </c>
      <c r="N17" s="53" t="str">
        <f t="shared" si="3"/>
        <v/>
      </c>
      <c r="O17" s="53" t="str">
        <f t="shared" si="4"/>
        <v/>
      </c>
      <c r="P17" s="30"/>
      <c r="Q17" s="30"/>
      <c r="R17" s="30"/>
      <c r="S17" s="29"/>
      <c r="T17" s="53" t="str">
        <f t="shared" si="7"/>
        <v/>
      </c>
      <c r="U17" s="52"/>
      <c r="V17" s="53"/>
      <c r="W17" s="29"/>
    </row>
    <row r="18" spans="2:23" x14ac:dyDescent="0.25">
      <c r="B18" s="22" t="str">
        <f t="shared" si="5"/>
        <v/>
      </c>
      <c r="C18" s="3"/>
      <c r="D18" s="3"/>
      <c r="E18" s="24"/>
      <c r="F18" s="25"/>
      <c r="G18" s="58"/>
      <c r="H18" s="37" t="str">
        <f t="shared" si="0"/>
        <v/>
      </c>
      <c r="I18" s="27" t="str">
        <f t="shared" si="1"/>
        <v/>
      </c>
      <c r="J18" s="26" t="str">
        <f t="shared" si="6"/>
        <v/>
      </c>
      <c r="K18" s="28"/>
      <c r="L18" s="29"/>
      <c r="M18" s="54" t="str">
        <f t="shared" si="2"/>
        <v/>
      </c>
      <c r="N18" s="53" t="str">
        <f t="shared" si="3"/>
        <v/>
      </c>
      <c r="O18" s="53" t="str">
        <f t="shared" si="4"/>
        <v/>
      </c>
      <c r="P18" s="30"/>
      <c r="Q18" s="30"/>
      <c r="R18" s="30"/>
      <c r="S18" s="29"/>
      <c r="T18" s="53" t="str">
        <f t="shared" si="7"/>
        <v/>
      </c>
      <c r="U18" s="52"/>
      <c r="V18" s="53"/>
      <c r="W18" s="29"/>
    </row>
    <row r="19" spans="2:23" x14ac:dyDescent="0.25">
      <c r="B19" s="22" t="str">
        <f t="shared" si="5"/>
        <v/>
      </c>
      <c r="C19" s="3"/>
      <c r="D19" s="3"/>
      <c r="E19" s="24"/>
      <c r="F19" s="25"/>
      <c r="G19" s="58"/>
      <c r="H19" s="37" t="str">
        <f t="shared" si="0"/>
        <v/>
      </c>
      <c r="I19" s="27" t="str">
        <f t="shared" si="1"/>
        <v/>
      </c>
      <c r="J19" s="26" t="str">
        <f t="shared" si="6"/>
        <v/>
      </c>
      <c r="K19" s="28"/>
      <c r="L19" s="29"/>
      <c r="M19" s="54" t="str">
        <f t="shared" si="2"/>
        <v/>
      </c>
      <c r="N19" s="53" t="str">
        <f t="shared" si="3"/>
        <v/>
      </c>
      <c r="O19" s="53" t="str">
        <f t="shared" si="4"/>
        <v/>
      </c>
      <c r="P19" s="30"/>
      <c r="Q19" s="30"/>
      <c r="R19" s="30"/>
      <c r="S19" s="29"/>
      <c r="T19" s="53" t="str">
        <f t="shared" si="7"/>
        <v/>
      </c>
      <c r="U19" s="52"/>
      <c r="V19" s="53"/>
      <c r="W19" s="29"/>
    </row>
    <row r="20" spans="2:23" x14ac:dyDescent="0.25">
      <c r="B20" s="22" t="str">
        <f t="shared" ref="B20:B34" si="8">IF(C20="","",B19+1)</f>
        <v/>
      </c>
      <c r="C20" s="3"/>
      <c r="D20" s="3"/>
      <c r="E20" s="24"/>
      <c r="F20" s="25"/>
      <c r="G20" s="58"/>
      <c r="H20" s="37" t="str">
        <f t="shared" si="0"/>
        <v/>
      </c>
      <c r="I20" s="27" t="str">
        <f t="shared" ref="I20:I34" si="9">IF(G20="","",G20/E20)</f>
        <v/>
      </c>
      <c r="J20" s="26" t="str">
        <f t="shared" si="6"/>
        <v/>
      </c>
      <c r="K20" s="28"/>
      <c r="L20" s="29"/>
      <c r="M20" s="54" t="str">
        <f t="shared" ref="M20:M34" si="10">IF(B20="","",-PMT(L20/12,(Q20-P20)*12,O20)*12)</f>
        <v/>
      </c>
      <c r="N20" s="53" t="str">
        <f t="shared" ref="N20:N34" si="11">IF(B20="","",O20*L20)</f>
        <v/>
      </c>
      <c r="O20" s="53" t="str">
        <f t="shared" ref="O20:O34" si="12">IF(C20="","",S20*G20)</f>
        <v/>
      </c>
      <c r="P20" s="30"/>
      <c r="Q20" s="30"/>
      <c r="R20" s="30"/>
      <c r="S20" s="29"/>
      <c r="T20" s="53" t="str">
        <f t="shared" si="7"/>
        <v/>
      </c>
      <c r="U20" s="52"/>
      <c r="V20" s="53"/>
      <c r="W20" s="29"/>
    </row>
    <row r="21" spans="2:23" x14ac:dyDescent="0.25">
      <c r="B21" s="22" t="str">
        <f t="shared" si="8"/>
        <v/>
      </c>
      <c r="C21" s="3"/>
      <c r="D21" s="3"/>
      <c r="E21" s="24"/>
      <c r="F21" s="25"/>
      <c r="G21" s="58"/>
      <c r="H21" s="37" t="str">
        <f t="shared" si="0"/>
        <v/>
      </c>
      <c r="I21" s="27" t="str">
        <f t="shared" si="9"/>
        <v/>
      </c>
      <c r="J21" s="26" t="str">
        <f t="shared" si="6"/>
        <v/>
      </c>
      <c r="K21" s="28"/>
      <c r="L21" s="29"/>
      <c r="M21" s="54" t="str">
        <f t="shared" si="10"/>
        <v/>
      </c>
      <c r="N21" s="53" t="str">
        <f t="shared" si="11"/>
        <v/>
      </c>
      <c r="O21" s="53" t="str">
        <f t="shared" si="12"/>
        <v/>
      </c>
      <c r="P21" s="30"/>
      <c r="Q21" s="30"/>
      <c r="R21" s="30"/>
      <c r="S21" s="29"/>
      <c r="T21" s="53" t="str">
        <f t="shared" si="7"/>
        <v/>
      </c>
      <c r="U21" s="52"/>
      <c r="V21" s="53"/>
      <c r="W21" s="29"/>
    </row>
    <row r="22" spans="2:23" x14ac:dyDescent="0.25">
      <c r="B22" s="22" t="str">
        <f t="shared" si="8"/>
        <v/>
      </c>
      <c r="C22" s="3"/>
      <c r="D22" s="3"/>
      <c r="E22" s="24"/>
      <c r="F22" s="25"/>
      <c r="G22" s="58"/>
      <c r="H22" s="37" t="str">
        <f t="shared" si="0"/>
        <v/>
      </c>
      <c r="I22" s="27" t="str">
        <f t="shared" si="9"/>
        <v/>
      </c>
      <c r="J22" s="26" t="str">
        <f t="shared" si="6"/>
        <v/>
      </c>
      <c r="K22" s="28"/>
      <c r="L22" s="29"/>
      <c r="M22" s="54" t="str">
        <f t="shared" si="10"/>
        <v/>
      </c>
      <c r="N22" s="53" t="str">
        <f t="shared" si="11"/>
        <v/>
      </c>
      <c r="O22" s="53" t="str">
        <f t="shared" si="12"/>
        <v/>
      </c>
      <c r="P22" s="30"/>
      <c r="Q22" s="30"/>
      <c r="R22" s="30"/>
      <c r="S22" s="29"/>
      <c r="T22" s="53" t="str">
        <f t="shared" si="7"/>
        <v/>
      </c>
      <c r="U22" s="52"/>
      <c r="V22" s="53"/>
      <c r="W22" s="29"/>
    </row>
    <row r="23" spans="2:23" x14ac:dyDescent="0.25">
      <c r="B23" s="22" t="str">
        <f t="shared" si="8"/>
        <v/>
      </c>
      <c r="C23" s="3"/>
      <c r="D23" s="3"/>
      <c r="E23" s="24"/>
      <c r="F23" s="25"/>
      <c r="G23" s="58"/>
      <c r="H23" s="37" t="str">
        <f t="shared" si="0"/>
        <v/>
      </c>
      <c r="I23" s="27" t="str">
        <f t="shared" si="9"/>
        <v/>
      </c>
      <c r="J23" s="26" t="str">
        <f t="shared" si="6"/>
        <v/>
      </c>
      <c r="K23" s="28"/>
      <c r="L23" s="29"/>
      <c r="M23" s="54" t="str">
        <f t="shared" si="10"/>
        <v/>
      </c>
      <c r="N23" s="53" t="str">
        <f t="shared" si="11"/>
        <v/>
      </c>
      <c r="O23" s="53" t="str">
        <f t="shared" si="12"/>
        <v/>
      </c>
      <c r="P23" s="30"/>
      <c r="Q23" s="30"/>
      <c r="R23" s="30"/>
      <c r="S23" s="29"/>
      <c r="T23" s="53" t="str">
        <f t="shared" si="7"/>
        <v/>
      </c>
      <c r="U23" s="52"/>
      <c r="V23" s="53"/>
      <c r="W23" s="29"/>
    </row>
    <row r="24" spans="2:23" x14ac:dyDescent="0.25">
      <c r="B24" s="22" t="str">
        <f t="shared" si="8"/>
        <v/>
      </c>
      <c r="C24" s="3"/>
      <c r="D24" s="3"/>
      <c r="E24" s="24"/>
      <c r="F24" s="25"/>
      <c r="G24" s="58"/>
      <c r="H24" s="37" t="str">
        <f t="shared" si="0"/>
        <v/>
      </c>
      <c r="I24" s="27" t="str">
        <f t="shared" si="9"/>
        <v/>
      </c>
      <c r="J24" s="26" t="str">
        <f t="shared" si="6"/>
        <v/>
      </c>
      <c r="K24" s="28"/>
      <c r="L24" s="29"/>
      <c r="M24" s="54" t="str">
        <f t="shared" si="10"/>
        <v/>
      </c>
      <c r="N24" s="53" t="str">
        <f t="shared" si="11"/>
        <v/>
      </c>
      <c r="O24" s="53" t="str">
        <f t="shared" si="12"/>
        <v/>
      </c>
      <c r="P24" s="30"/>
      <c r="Q24" s="30"/>
      <c r="R24" s="30"/>
      <c r="S24" s="29"/>
      <c r="T24" s="53" t="str">
        <f t="shared" si="7"/>
        <v/>
      </c>
      <c r="U24" s="52"/>
      <c r="V24" s="53"/>
      <c r="W24" s="29"/>
    </row>
    <row r="25" spans="2:23" x14ac:dyDescent="0.25">
      <c r="B25" s="22" t="str">
        <f t="shared" si="8"/>
        <v/>
      </c>
      <c r="C25" s="3"/>
      <c r="D25" s="3"/>
      <c r="E25" s="24"/>
      <c r="F25" s="25"/>
      <c r="G25" s="58"/>
      <c r="H25" s="37" t="str">
        <f t="shared" si="0"/>
        <v/>
      </c>
      <c r="I25" s="27" t="str">
        <f t="shared" si="9"/>
        <v/>
      </c>
      <c r="J25" s="26" t="str">
        <f t="shared" si="6"/>
        <v/>
      </c>
      <c r="K25" s="28"/>
      <c r="L25" s="29"/>
      <c r="M25" s="54" t="str">
        <f t="shared" si="10"/>
        <v/>
      </c>
      <c r="N25" s="53" t="str">
        <f t="shared" si="11"/>
        <v/>
      </c>
      <c r="O25" s="53" t="str">
        <f t="shared" si="12"/>
        <v/>
      </c>
      <c r="P25" s="30"/>
      <c r="Q25" s="30"/>
      <c r="R25" s="30"/>
      <c r="S25" s="29"/>
      <c r="T25" s="53" t="str">
        <f t="shared" si="7"/>
        <v/>
      </c>
      <c r="U25" s="52"/>
      <c r="V25" s="53"/>
      <c r="W25" s="29"/>
    </row>
    <row r="26" spans="2:23" x14ac:dyDescent="0.25">
      <c r="B26" s="22" t="str">
        <f t="shared" si="8"/>
        <v/>
      </c>
      <c r="C26" s="3"/>
      <c r="D26" s="3"/>
      <c r="E26" s="24"/>
      <c r="F26" s="25"/>
      <c r="G26" s="58"/>
      <c r="H26" s="37" t="str">
        <f t="shared" si="0"/>
        <v/>
      </c>
      <c r="I26" s="27" t="str">
        <f t="shared" si="9"/>
        <v/>
      </c>
      <c r="J26" s="26" t="str">
        <f t="shared" si="6"/>
        <v/>
      </c>
      <c r="K26" s="28"/>
      <c r="L26" s="29"/>
      <c r="M26" s="54" t="str">
        <f t="shared" si="10"/>
        <v/>
      </c>
      <c r="N26" s="53" t="str">
        <f t="shared" si="11"/>
        <v/>
      </c>
      <c r="O26" s="53" t="str">
        <f t="shared" si="12"/>
        <v/>
      </c>
      <c r="P26" s="30"/>
      <c r="Q26" s="30"/>
      <c r="R26" s="30"/>
      <c r="S26" s="29"/>
      <c r="T26" s="53" t="str">
        <f t="shared" si="7"/>
        <v/>
      </c>
      <c r="U26" s="52"/>
      <c r="V26" s="53"/>
      <c r="W26" s="29"/>
    </row>
    <row r="27" spans="2:23" x14ac:dyDescent="0.25">
      <c r="B27" s="22" t="str">
        <f t="shared" si="8"/>
        <v/>
      </c>
      <c r="C27" s="3"/>
      <c r="D27" s="3"/>
      <c r="E27" s="24"/>
      <c r="F27" s="25"/>
      <c r="G27" s="58"/>
      <c r="H27" s="37" t="str">
        <f t="shared" si="0"/>
        <v/>
      </c>
      <c r="I27" s="27" t="str">
        <f t="shared" si="9"/>
        <v/>
      </c>
      <c r="J27" s="26" t="str">
        <f t="shared" si="6"/>
        <v/>
      </c>
      <c r="K27" s="28"/>
      <c r="L27" s="29"/>
      <c r="M27" s="54" t="str">
        <f t="shared" si="10"/>
        <v/>
      </c>
      <c r="N27" s="53" t="str">
        <f t="shared" si="11"/>
        <v/>
      </c>
      <c r="O27" s="53" t="str">
        <f t="shared" si="12"/>
        <v/>
      </c>
      <c r="P27" s="30"/>
      <c r="Q27" s="30"/>
      <c r="R27" s="30"/>
      <c r="S27" s="29"/>
      <c r="T27" s="53" t="str">
        <f t="shared" si="7"/>
        <v/>
      </c>
      <c r="U27" s="52"/>
      <c r="V27" s="53"/>
      <c r="W27" s="29"/>
    </row>
    <row r="28" spans="2:23" x14ac:dyDescent="0.25">
      <c r="B28" s="22" t="str">
        <f t="shared" si="8"/>
        <v/>
      </c>
      <c r="C28" s="3"/>
      <c r="D28" s="3"/>
      <c r="E28" s="24"/>
      <c r="F28" s="25"/>
      <c r="G28" s="58"/>
      <c r="H28" s="37" t="str">
        <f t="shared" si="0"/>
        <v/>
      </c>
      <c r="I28" s="27" t="str">
        <f t="shared" si="9"/>
        <v/>
      </c>
      <c r="J28" s="26" t="str">
        <f t="shared" si="6"/>
        <v/>
      </c>
      <c r="K28" s="28"/>
      <c r="L28" s="29"/>
      <c r="M28" s="54" t="str">
        <f t="shared" si="10"/>
        <v/>
      </c>
      <c r="N28" s="53" t="str">
        <f t="shared" si="11"/>
        <v/>
      </c>
      <c r="O28" s="53" t="str">
        <f t="shared" si="12"/>
        <v/>
      </c>
      <c r="P28" s="30"/>
      <c r="Q28" s="30"/>
      <c r="R28" s="30"/>
      <c r="S28" s="29"/>
      <c r="T28" s="53" t="str">
        <f t="shared" si="7"/>
        <v/>
      </c>
      <c r="U28" s="52"/>
      <c r="V28" s="53"/>
      <c r="W28" s="29"/>
    </row>
    <row r="29" spans="2:23" x14ac:dyDescent="0.25">
      <c r="B29" s="22" t="str">
        <f t="shared" si="8"/>
        <v/>
      </c>
      <c r="C29" s="3"/>
      <c r="D29" s="3"/>
      <c r="E29" s="24"/>
      <c r="F29" s="25"/>
      <c r="G29" s="58"/>
      <c r="H29" s="37" t="str">
        <f t="shared" si="0"/>
        <v/>
      </c>
      <c r="I29" s="27" t="str">
        <f t="shared" si="9"/>
        <v/>
      </c>
      <c r="J29" s="26" t="str">
        <f t="shared" si="6"/>
        <v/>
      </c>
      <c r="K29" s="28"/>
      <c r="L29" s="29"/>
      <c r="M29" s="54" t="str">
        <f t="shared" si="10"/>
        <v/>
      </c>
      <c r="N29" s="53" t="str">
        <f t="shared" si="11"/>
        <v/>
      </c>
      <c r="O29" s="53" t="str">
        <f t="shared" si="12"/>
        <v/>
      </c>
      <c r="P29" s="30"/>
      <c r="Q29" s="30"/>
      <c r="R29" s="30"/>
      <c r="S29" s="29"/>
      <c r="T29" s="53" t="str">
        <f t="shared" si="7"/>
        <v/>
      </c>
      <c r="U29" s="52"/>
      <c r="V29" s="53"/>
      <c r="W29" s="29"/>
    </row>
    <row r="30" spans="2:23" x14ac:dyDescent="0.25">
      <c r="B30" s="22" t="str">
        <f t="shared" si="8"/>
        <v/>
      </c>
      <c r="C30" s="3"/>
      <c r="D30" s="3"/>
      <c r="E30" s="24"/>
      <c r="F30" s="25"/>
      <c r="G30" s="58"/>
      <c r="H30" s="37" t="str">
        <f t="shared" si="0"/>
        <v/>
      </c>
      <c r="I30" s="27" t="str">
        <f t="shared" si="9"/>
        <v/>
      </c>
      <c r="J30" s="26" t="str">
        <f t="shared" si="6"/>
        <v/>
      </c>
      <c r="K30" s="28"/>
      <c r="L30" s="29"/>
      <c r="M30" s="54" t="str">
        <f t="shared" si="10"/>
        <v/>
      </c>
      <c r="N30" s="53" t="str">
        <f t="shared" si="11"/>
        <v/>
      </c>
      <c r="O30" s="53" t="str">
        <f t="shared" si="12"/>
        <v/>
      </c>
      <c r="P30" s="30"/>
      <c r="Q30" s="30"/>
      <c r="R30" s="30"/>
      <c r="S30" s="29"/>
      <c r="T30" s="53" t="str">
        <f t="shared" si="7"/>
        <v/>
      </c>
      <c r="U30" s="52"/>
      <c r="V30" s="53"/>
      <c r="W30" s="29"/>
    </row>
    <row r="31" spans="2:23" x14ac:dyDescent="0.25">
      <c r="B31" s="22" t="str">
        <f t="shared" si="8"/>
        <v/>
      </c>
      <c r="C31" s="3"/>
      <c r="D31" s="3"/>
      <c r="E31" s="24"/>
      <c r="F31" s="25"/>
      <c r="G31" s="58"/>
      <c r="H31" s="37" t="str">
        <f t="shared" si="0"/>
        <v/>
      </c>
      <c r="I31" s="27" t="str">
        <f t="shared" si="9"/>
        <v/>
      </c>
      <c r="J31" s="26" t="str">
        <f t="shared" si="6"/>
        <v/>
      </c>
      <c r="K31" s="28"/>
      <c r="L31" s="29"/>
      <c r="M31" s="54" t="str">
        <f t="shared" si="10"/>
        <v/>
      </c>
      <c r="N31" s="53" t="str">
        <f t="shared" si="11"/>
        <v/>
      </c>
      <c r="O31" s="53" t="str">
        <f t="shared" si="12"/>
        <v/>
      </c>
      <c r="P31" s="30"/>
      <c r="Q31" s="30"/>
      <c r="R31" s="30"/>
      <c r="S31" s="29"/>
      <c r="T31" s="53" t="str">
        <f t="shared" si="7"/>
        <v/>
      </c>
      <c r="U31" s="52"/>
      <c r="V31" s="53"/>
      <c r="W31" s="29"/>
    </row>
    <row r="32" spans="2:23" x14ac:dyDescent="0.25">
      <c r="B32" s="22" t="str">
        <f t="shared" si="8"/>
        <v/>
      </c>
      <c r="C32" s="3"/>
      <c r="D32" s="3"/>
      <c r="E32" s="24"/>
      <c r="F32" s="25"/>
      <c r="G32" s="58"/>
      <c r="H32" s="37" t="str">
        <f t="shared" si="0"/>
        <v/>
      </c>
      <c r="I32" s="27" t="str">
        <f t="shared" si="9"/>
        <v/>
      </c>
      <c r="J32" s="26" t="str">
        <f t="shared" si="6"/>
        <v/>
      </c>
      <c r="K32" s="28"/>
      <c r="L32" s="29"/>
      <c r="M32" s="54" t="str">
        <f t="shared" si="10"/>
        <v/>
      </c>
      <c r="N32" s="53" t="str">
        <f t="shared" si="11"/>
        <v/>
      </c>
      <c r="O32" s="53" t="str">
        <f t="shared" si="12"/>
        <v/>
      </c>
      <c r="P32" s="30"/>
      <c r="Q32" s="30"/>
      <c r="R32" s="30"/>
      <c r="S32" s="29"/>
      <c r="T32" s="53" t="str">
        <f t="shared" si="7"/>
        <v/>
      </c>
      <c r="U32" s="52"/>
      <c r="V32" s="53"/>
      <c r="W32" s="29"/>
    </row>
    <row r="33" spans="1:29" x14ac:dyDescent="0.25">
      <c r="B33" s="22" t="str">
        <f t="shared" si="8"/>
        <v/>
      </c>
      <c r="C33" s="3"/>
      <c r="D33" s="3"/>
      <c r="E33" s="24"/>
      <c r="F33" s="25"/>
      <c r="G33" s="58"/>
      <c r="H33" s="37" t="str">
        <f t="shared" si="0"/>
        <v/>
      </c>
      <c r="I33" s="27" t="str">
        <f t="shared" si="9"/>
        <v/>
      </c>
      <c r="J33" s="26" t="str">
        <f t="shared" si="6"/>
        <v/>
      </c>
      <c r="K33" s="28"/>
      <c r="L33" s="29"/>
      <c r="M33" s="54" t="str">
        <f t="shared" si="10"/>
        <v/>
      </c>
      <c r="N33" s="53" t="str">
        <f t="shared" si="11"/>
        <v/>
      </c>
      <c r="O33" s="53" t="str">
        <f t="shared" si="12"/>
        <v/>
      </c>
      <c r="P33" s="30"/>
      <c r="Q33" s="30"/>
      <c r="R33" s="30"/>
      <c r="S33" s="29"/>
      <c r="T33" s="53" t="str">
        <f t="shared" si="7"/>
        <v/>
      </c>
      <c r="U33" s="52"/>
      <c r="V33" s="53"/>
      <c r="W33" s="29"/>
    </row>
    <row r="34" spans="1:29" x14ac:dyDescent="0.25">
      <c r="B34" s="22" t="str">
        <f t="shared" si="8"/>
        <v/>
      </c>
      <c r="C34" s="3"/>
      <c r="D34" s="3"/>
      <c r="E34" s="24"/>
      <c r="F34" s="25"/>
      <c r="G34" s="58"/>
      <c r="H34" s="37" t="str">
        <f t="shared" si="0"/>
        <v/>
      </c>
      <c r="I34" s="27" t="str">
        <f t="shared" si="9"/>
        <v/>
      </c>
      <c r="J34" s="26" t="str">
        <f t="shared" si="6"/>
        <v/>
      </c>
      <c r="K34" s="28"/>
      <c r="L34" s="29"/>
      <c r="M34" s="54" t="str">
        <f t="shared" si="10"/>
        <v/>
      </c>
      <c r="N34" s="53" t="str">
        <f t="shared" si="11"/>
        <v/>
      </c>
      <c r="O34" s="53" t="str">
        <f t="shared" si="12"/>
        <v/>
      </c>
      <c r="P34" s="30"/>
      <c r="Q34" s="30"/>
      <c r="R34" s="30"/>
      <c r="S34" s="29"/>
      <c r="T34" s="53" t="str">
        <f t="shared" si="7"/>
        <v/>
      </c>
      <c r="U34" s="52"/>
      <c r="V34" s="53"/>
      <c r="W34" s="29"/>
    </row>
    <row r="35" spans="1:29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9" x14ac:dyDescent="0.25">
      <c r="B36" s="31"/>
      <c r="C36" s="3"/>
      <c r="D36" s="3"/>
      <c r="E36" s="24"/>
      <c r="F36" s="25"/>
      <c r="G36" s="26"/>
      <c r="H36" s="25"/>
      <c r="I36" s="27"/>
      <c r="J36" s="26"/>
      <c r="K36" s="28"/>
      <c r="L36" s="29"/>
      <c r="M36" s="29"/>
      <c r="N36" s="29"/>
      <c r="O36" s="29"/>
      <c r="P36" s="30"/>
      <c r="Q36" s="30"/>
      <c r="R36" s="30"/>
      <c r="S36" s="29"/>
      <c r="T36" s="29"/>
      <c r="U36" s="29"/>
      <c r="V36" s="29"/>
      <c r="W36" s="29"/>
    </row>
    <row r="38" spans="1:29" s="38" customFormat="1" x14ac:dyDescent="0.25">
      <c r="A38"/>
    </row>
    <row r="40" spans="1:29" s="4" customFormat="1" x14ac:dyDescent="0.25">
      <c r="A40"/>
      <c r="B40" s="1"/>
      <c r="C40" s="1"/>
      <c r="D40" s="1"/>
      <c r="E40" s="32"/>
      <c r="F40" s="32"/>
      <c r="G40" s="32"/>
      <c r="H40" s="32"/>
      <c r="I40" s="32"/>
      <c r="J40" s="32"/>
      <c r="K40" s="3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Y40" s="50"/>
      <c r="Z40" s="50"/>
      <c r="AA40" s="50"/>
      <c r="AB40" s="50"/>
      <c r="AC40" s="50"/>
    </row>
    <row r="41" spans="1:29" s="4" customForma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Y41" s="50"/>
      <c r="Z41" s="50"/>
      <c r="AA41" s="50"/>
      <c r="AB41" s="50"/>
      <c r="AC41" s="50"/>
    </row>
  </sheetData>
  <mergeCells count="3">
    <mergeCell ref="B3:F3"/>
    <mergeCell ref="G3:K3"/>
    <mergeCell ref="L3:W3"/>
  </mergeCells>
  <conditionalFormatting sqref="B36:W36 B4:W34">
    <cfRule type="expression" dxfId="49" priority="6">
      <formula>$B3&lt;&gt;""</formula>
    </cfRule>
  </conditionalFormatting>
  <conditionalFormatting sqref="C5:G34 K5:L34 P5:S34 U5:W34">
    <cfRule type="expression" dxfId="48" priority="1">
      <formula>$B4&lt;&gt;""</formula>
    </cfRule>
  </conditionalFormatting>
  <pageMargins left="0.7" right="0.7" top="0.75" bottom="0.75" header="0.3" footer="0.3"/>
  <pageSetup scale="38" orientation="portrait" horizontalDpi="4294967294" verticalDpi="0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289E199-6211-4300-A66A-3C7F5777B5A9}">
            <xm:f>'Portfolio Summary'!$D$4&lt;&gt;"Property Level"</xm:f>
            <x14:dxf>
              <font>
                <color theme="0" tint="-4.9989318521683403E-2"/>
              </font>
            </x14:dxf>
          </x14:cfRule>
          <xm:sqref>G4:G34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2:T129"/>
  <sheetViews>
    <sheetView showGridLines="0" zoomScale="85" zoomScaleNormal="85" zoomScaleSheetLayoutView="70" workbookViewId="0"/>
  </sheetViews>
  <sheetFormatPr defaultRowHeight="15" x14ac:dyDescent="0.25"/>
  <cols>
    <col min="1" max="1" width="2.85546875" customWidth="1"/>
    <col min="2" max="2" width="3.28515625" bestFit="1" customWidth="1"/>
    <col min="3" max="3" width="23.85546875" customWidth="1"/>
    <col min="4" max="4" width="12.5703125" bestFit="1" customWidth="1"/>
    <col min="5" max="8" width="12.28515625" bestFit="1" customWidth="1"/>
    <col min="9" max="11" width="12.5703125" bestFit="1" customWidth="1"/>
    <col min="12" max="12" width="13.140625" bestFit="1" customWidth="1"/>
    <col min="13" max="14" width="12.5703125" bestFit="1" customWidth="1"/>
    <col min="15" max="15" width="12.28515625" bestFit="1" customWidth="1"/>
    <col min="16" max="17" width="13.42578125" bestFit="1" customWidth="1"/>
    <col min="18" max="18" width="10" bestFit="1" customWidth="1"/>
  </cols>
  <sheetData>
    <row r="2" spans="2:20" ht="15.75" x14ac:dyDescent="0.25">
      <c r="B2" s="10" t="s">
        <v>20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2:20" s="1" customFormat="1" x14ac:dyDescent="0.25">
      <c r="B3" s="12"/>
      <c r="C3" s="12"/>
      <c r="D3" s="13">
        <v>1</v>
      </c>
      <c r="E3" s="13">
        <f t="shared" ref="E3:S3" si="0">IF(OR(D3="",D3=Cap_Year),"",D3+1)</f>
        <v>2</v>
      </c>
      <c r="F3" s="13">
        <f t="shared" si="0"/>
        <v>3</v>
      </c>
      <c r="G3" s="13">
        <f t="shared" si="0"/>
        <v>4</v>
      </c>
      <c r="H3" s="13">
        <f t="shared" si="0"/>
        <v>5</v>
      </c>
      <c r="I3" s="13">
        <f t="shared" si="0"/>
        <v>6</v>
      </c>
      <c r="J3" s="13">
        <f t="shared" si="0"/>
        <v>7</v>
      </c>
      <c r="K3" s="13">
        <f t="shared" si="0"/>
        <v>8</v>
      </c>
      <c r="L3" s="13">
        <f t="shared" si="0"/>
        <v>9</v>
      </c>
      <c r="M3" s="13">
        <f t="shared" si="0"/>
        <v>10</v>
      </c>
      <c r="N3" s="13">
        <f t="shared" si="0"/>
        <v>11</v>
      </c>
      <c r="O3" s="13" t="str">
        <f t="shared" si="0"/>
        <v/>
      </c>
      <c r="P3" s="13" t="str">
        <f t="shared" si="0"/>
        <v/>
      </c>
      <c r="Q3" s="13" t="str">
        <f t="shared" si="0"/>
        <v/>
      </c>
      <c r="R3" s="13" t="str">
        <f t="shared" si="0"/>
        <v/>
      </c>
      <c r="S3" s="13" t="str">
        <f t="shared" si="0"/>
        <v/>
      </c>
      <c r="T3" s="13"/>
    </row>
    <row r="4" spans="2:20" s="1" customFormat="1" x14ac:dyDescent="0.25">
      <c r="B4" s="12" t="s">
        <v>1</v>
      </c>
      <c r="C4" s="14" t="s">
        <v>19</v>
      </c>
      <c r="D4" s="15">
        <f>EOMONTH(Analysis_Start,11)</f>
        <v>42735</v>
      </c>
      <c r="E4" s="15">
        <f t="shared" ref="E4:R4" si="1">IF(E3="","",EOMONTH(Analysis_Start,(11*E3)+D3))</f>
        <v>43100</v>
      </c>
      <c r="F4" s="15">
        <f t="shared" si="1"/>
        <v>43465</v>
      </c>
      <c r="G4" s="15">
        <f t="shared" si="1"/>
        <v>43830</v>
      </c>
      <c r="H4" s="15">
        <f t="shared" si="1"/>
        <v>44196</v>
      </c>
      <c r="I4" s="15">
        <f t="shared" si="1"/>
        <v>44561</v>
      </c>
      <c r="J4" s="15">
        <f t="shared" si="1"/>
        <v>44926</v>
      </c>
      <c r="K4" s="15">
        <f t="shared" si="1"/>
        <v>45291</v>
      </c>
      <c r="L4" s="15">
        <f t="shared" si="1"/>
        <v>45657</v>
      </c>
      <c r="M4" s="15">
        <f t="shared" si="1"/>
        <v>46022</v>
      </c>
      <c r="N4" s="15">
        <f t="shared" si="1"/>
        <v>46387</v>
      </c>
      <c r="O4" s="15" t="str">
        <f t="shared" si="1"/>
        <v/>
      </c>
      <c r="P4" s="15" t="str">
        <f t="shared" si="1"/>
        <v/>
      </c>
      <c r="Q4" s="15" t="str">
        <f t="shared" si="1"/>
        <v/>
      </c>
      <c r="R4" s="15" t="str">
        <f t="shared" si="1"/>
        <v/>
      </c>
    </row>
    <row r="5" spans="2:20" collapsed="1" x14ac:dyDescent="0.25">
      <c r="B5" s="20" t="s">
        <v>24</v>
      </c>
      <c r="C5" s="21" t="s">
        <v>25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19"/>
      <c r="P5" s="19"/>
      <c r="Q5" s="19"/>
      <c r="R5" s="19"/>
    </row>
    <row r="6" spans="2:20" x14ac:dyDescent="0.25">
      <c r="B6" s="11"/>
      <c r="C6" s="19" t="s">
        <v>21</v>
      </c>
      <c r="D6" s="34">
        <f t="shared" ref="D6:R6" si="2">IF(OR(D$3&gt;Analysis_Period,D$3=""),"",SUMIF($C$10:$C$129,$C6,D10:D129))</f>
        <v>9000000</v>
      </c>
      <c r="E6" s="34">
        <f t="shared" si="2"/>
        <v>9224999.9999999981</v>
      </c>
      <c r="F6" s="34">
        <f t="shared" si="2"/>
        <v>9455624.9999999981</v>
      </c>
      <c r="G6" s="34">
        <f t="shared" si="2"/>
        <v>9692015.6249999963</v>
      </c>
      <c r="H6" s="34">
        <f t="shared" si="2"/>
        <v>9934316.0156249944</v>
      </c>
      <c r="I6" s="34">
        <f t="shared" si="2"/>
        <v>10182673.916015618</v>
      </c>
      <c r="J6" s="34">
        <f t="shared" si="2"/>
        <v>10437240.763916006</v>
      </c>
      <c r="K6" s="34">
        <f t="shared" si="2"/>
        <v>10698171.783013906</v>
      </c>
      <c r="L6" s="34">
        <f t="shared" si="2"/>
        <v>10965626.077589255</v>
      </c>
      <c r="M6" s="34">
        <f t="shared" si="2"/>
        <v>11239766.729528984</v>
      </c>
      <c r="N6" s="34" t="str">
        <f t="shared" si="2"/>
        <v/>
      </c>
      <c r="O6" s="11" t="str">
        <f t="shared" si="2"/>
        <v/>
      </c>
      <c r="P6" s="11" t="str">
        <f t="shared" si="2"/>
        <v/>
      </c>
      <c r="Q6" s="11" t="str">
        <f t="shared" si="2"/>
        <v/>
      </c>
      <c r="R6" s="11" t="str">
        <f t="shared" si="2"/>
        <v/>
      </c>
    </row>
    <row r="7" spans="2:20" x14ac:dyDescent="0.25">
      <c r="B7" s="11"/>
      <c r="C7" s="19" t="s">
        <v>22</v>
      </c>
      <c r="D7" s="34">
        <f>IF(D$3="","",SUMIF($C$10:$C$129,$C$7,D10:D129))</f>
        <v>7470000</v>
      </c>
      <c r="E7" s="34">
        <f t="shared" ref="E7:R7" si="3">IF(E$3="","",SUMIF($C$10:$C$129,$C$7,E10:E129))</f>
        <v>7656749.9999999991</v>
      </c>
      <c r="F7" s="34">
        <f t="shared" si="3"/>
        <v>7848168.7499999981</v>
      </c>
      <c r="G7" s="34">
        <f t="shared" si="3"/>
        <v>8044372.9687499953</v>
      </c>
      <c r="H7" s="34">
        <f t="shared" si="3"/>
        <v>8245482.2929687444</v>
      </c>
      <c r="I7" s="34">
        <f t="shared" si="3"/>
        <v>8451619.350292962</v>
      </c>
      <c r="J7" s="34">
        <f t="shared" si="3"/>
        <v>8662909.8340502866</v>
      </c>
      <c r="K7" s="34">
        <f t="shared" si="3"/>
        <v>8879482.5799015425</v>
      </c>
      <c r="L7" s="34">
        <f t="shared" si="3"/>
        <v>9101469.6443990804</v>
      </c>
      <c r="M7" s="34">
        <f t="shared" si="3"/>
        <v>9329006.385509057</v>
      </c>
      <c r="N7" s="34">
        <f t="shared" si="3"/>
        <v>9562231.545146782</v>
      </c>
      <c r="O7" s="11" t="str">
        <f t="shared" si="3"/>
        <v/>
      </c>
      <c r="P7" s="11" t="str">
        <f t="shared" si="3"/>
        <v/>
      </c>
      <c r="Q7" s="11" t="str">
        <f t="shared" si="3"/>
        <v/>
      </c>
      <c r="R7" s="11" t="str">
        <f t="shared" si="3"/>
        <v/>
      </c>
    </row>
    <row r="8" spans="2:20" x14ac:dyDescent="0.25">
      <c r="B8" s="11"/>
      <c r="C8" s="19" t="s">
        <v>23</v>
      </c>
      <c r="D8" s="34">
        <f t="shared" ref="D8:R8" si="4">IF(OR(D$3&gt;Analysis_Period,D$3=""),"",SUMIF($C$10:$C$129,$C$8,D10:D129))</f>
        <v>6349500</v>
      </c>
      <c r="E8" s="34">
        <f t="shared" si="4"/>
        <v>6508237.4999999991</v>
      </c>
      <c r="F8" s="34">
        <f t="shared" si="4"/>
        <v>6670943.4374999981</v>
      </c>
      <c r="G8" s="34">
        <f t="shared" si="4"/>
        <v>6837717.0234374953</v>
      </c>
      <c r="H8" s="34">
        <f t="shared" si="4"/>
        <v>7008659.949023433</v>
      </c>
      <c r="I8" s="34">
        <f t="shared" si="4"/>
        <v>7183876.4477490168</v>
      </c>
      <c r="J8" s="34">
        <f t="shared" si="4"/>
        <v>7363473.3589427434</v>
      </c>
      <c r="K8" s="34">
        <f t="shared" si="4"/>
        <v>7547560.1929163104</v>
      </c>
      <c r="L8" s="34">
        <f t="shared" si="4"/>
        <v>7736249.1977392184</v>
      </c>
      <c r="M8" s="34">
        <f t="shared" si="4"/>
        <v>7929655.4276826987</v>
      </c>
      <c r="N8" s="34" t="str">
        <f t="shared" si="4"/>
        <v/>
      </c>
      <c r="O8" s="11" t="str">
        <f t="shared" si="4"/>
        <v/>
      </c>
      <c r="P8" s="11" t="str">
        <f t="shared" si="4"/>
        <v/>
      </c>
      <c r="Q8" s="11" t="str">
        <f t="shared" si="4"/>
        <v/>
      </c>
      <c r="R8" s="11" t="str">
        <f t="shared" si="4"/>
        <v/>
      </c>
    </row>
    <row r="9" spans="2:20" x14ac:dyDescent="0.25">
      <c r="B9" s="11"/>
      <c r="C9" s="19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11"/>
      <c r="P9" s="11"/>
      <c r="Q9" s="11"/>
      <c r="R9" s="11"/>
    </row>
    <row r="10" spans="2:20" x14ac:dyDescent="0.25">
      <c r="B10" s="11">
        <v>1</v>
      </c>
      <c r="C10" s="16" t="str">
        <f>'Property Assumptions'!C5</f>
        <v>Property Name #1</v>
      </c>
      <c r="D10" s="36">
        <f>D12</f>
        <v>1245000</v>
      </c>
      <c r="E10" s="36">
        <f t="shared" ref="E10:R10" si="5">E12</f>
        <v>1276124.9999999998</v>
      </c>
      <c r="F10" s="36">
        <f t="shared" si="5"/>
        <v>1308028.1249999995</v>
      </c>
      <c r="G10" s="36">
        <f t="shared" si="5"/>
        <v>1340728.8281249993</v>
      </c>
      <c r="H10" s="36">
        <f t="shared" si="5"/>
        <v>1374247.0488281241</v>
      </c>
      <c r="I10" s="36">
        <f t="shared" si="5"/>
        <v>1408603.225048827</v>
      </c>
      <c r="J10" s="36">
        <f t="shared" si="5"/>
        <v>1443818.3056750477</v>
      </c>
      <c r="K10" s="36">
        <f t="shared" si="5"/>
        <v>1479913.7633169238</v>
      </c>
      <c r="L10" s="36">
        <f t="shared" si="5"/>
        <v>1516911.6073998467</v>
      </c>
      <c r="M10" s="36">
        <f t="shared" si="5"/>
        <v>1554834.3975848428</v>
      </c>
      <c r="N10" s="36">
        <f t="shared" si="5"/>
        <v>1593705.2575244636</v>
      </c>
      <c r="O10" s="36">
        <f t="shared" si="5"/>
        <v>1633547.888962575</v>
      </c>
      <c r="P10" s="36">
        <f t="shared" si="5"/>
        <v>1674386.5861866393</v>
      </c>
      <c r="Q10" s="36">
        <f t="shared" si="5"/>
        <v>1716246.2508413051</v>
      </c>
      <c r="R10" s="36">
        <f t="shared" si="5"/>
        <v>0</v>
      </c>
    </row>
    <row r="11" spans="2:20" x14ac:dyDescent="0.25">
      <c r="B11" s="56" t="str">
        <f>C10&amp;C11</f>
        <v>Property Name #1EGR</v>
      </c>
      <c r="C11" s="18" t="str">
        <f>IF(C10="","","EGR")</f>
        <v>EGR</v>
      </c>
      <c r="D11" s="35">
        <v>1500000</v>
      </c>
      <c r="E11" s="35">
        <f>D11*1.025</f>
        <v>1537499.9999999998</v>
      </c>
      <c r="F11" s="35">
        <f t="shared" ref="F11:N11" si="6">E11*1.025</f>
        <v>1575937.4999999995</v>
      </c>
      <c r="G11" s="35">
        <f t="shared" si="6"/>
        <v>1615335.9374999993</v>
      </c>
      <c r="H11" s="35">
        <f t="shared" si="6"/>
        <v>1655719.3359374991</v>
      </c>
      <c r="I11" s="35">
        <f t="shared" si="6"/>
        <v>1697112.3193359363</v>
      </c>
      <c r="J11" s="35">
        <f t="shared" si="6"/>
        <v>1739540.1273193345</v>
      </c>
      <c r="K11" s="35">
        <f t="shared" si="6"/>
        <v>1783028.6305023178</v>
      </c>
      <c r="L11" s="35">
        <f t="shared" si="6"/>
        <v>1827604.3462648755</v>
      </c>
      <c r="M11" s="35">
        <f t="shared" si="6"/>
        <v>1873294.4549214973</v>
      </c>
      <c r="N11" s="35">
        <f t="shared" si="6"/>
        <v>1920126.8162945346</v>
      </c>
      <c r="O11" s="35">
        <f t="shared" ref="O11:P11" si="7">N11*1.025</f>
        <v>1968129.9867018978</v>
      </c>
      <c r="P11" s="35">
        <f t="shared" si="7"/>
        <v>2017333.236369445</v>
      </c>
      <c r="Q11" s="35">
        <f t="shared" ref="Q11" si="8">P11*1.025</f>
        <v>2067766.5672786809</v>
      </c>
      <c r="R11" s="17">
        <v>0</v>
      </c>
    </row>
    <row r="12" spans="2:20" x14ac:dyDescent="0.25">
      <c r="B12" s="56" t="str">
        <f>C10&amp;C12</f>
        <v>Property Name #1NOI</v>
      </c>
      <c r="C12" s="18" t="str">
        <f>IF(C10="","","NOI")</f>
        <v>NOI</v>
      </c>
      <c r="D12" s="35">
        <f>D11*0.83</f>
        <v>1245000</v>
      </c>
      <c r="E12" s="35">
        <f t="shared" ref="E12:N12" si="9">E11*0.83</f>
        <v>1276124.9999999998</v>
      </c>
      <c r="F12" s="35">
        <f t="shared" si="9"/>
        <v>1308028.1249999995</v>
      </c>
      <c r="G12" s="35">
        <f t="shared" si="9"/>
        <v>1340728.8281249993</v>
      </c>
      <c r="H12" s="35">
        <f t="shared" si="9"/>
        <v>1374247.0488281241</v>
      </c>
      <c r="I12" s="35">
        <f t="shared" si="9"/>
        <v>1408603.225048827</v>
      </c>
      <c r="J12" s="35">
        <f t="shared" si="9"/>
        <v>1443818.3056750477</v>
      </c>
      <c r="K12" s="35">
        <f t="shared" si="9"/>
        <v>1479913.7633169238</v>
      </c>
      <c r="L12" s="35">
        <f t="shared" si="9"/>
        <v>1516911.6073998467</v>
      </c>
      <c r="M12" s="35">
        <f t="shared" si="9"/>
        <v>1554834.3975848428</v>
      </c>
      <c r="N12" s="35">
        <f t="shared" si="9"/>
        <v>1593705.2575244636</v>
      </c>
      <c r="O12" s="35">
        <f t="shared" ref="O12" si="10">O11*0.83</f>
        <v>1633547.888962575</v>
      </c>
      <c r="P12" s="35">
        <f t="shared" ref="P12:Q12" si="11">P11*0.83</f>
        <v>1674386.5861866393</v>
      </c>
      <c r="Q12" s="35">
        <f t="shared" si="11"/>
        <v>1716246.2508413051</v>
      </c>
      <c r="R12" s="17">
        <v>0</v>
      </c>
    </row>
    <row r="13" spans="2:20" x14ac:dyDescent="0.25">
      <c r="B13" s="56" t="str">
        <f>C10&amp;C13</f>
        <v>Property Name #1CFO</v>
      </c>
      <c r="C13" s="18" t="str">
        <f>IF(C10="","","CFO")</f>
        <v>CFO</v>
      </c>
      <c r="D13" s="35">
        <f>D12*0.85</f>
        <v>1058250</v>
      </c>
      <c r="E13" s="35">
        <f t="shared" ref="E13:N13" si="12">E12*0.85</f>
        <v>1084706.2499999998</v>
      </c>
      <c r="F13" s="35">
        <f t="shared" si="12"/>
        <v>1111823.9062499995</v>
      </c>
      <c r="G13" s="35">
        <f t="shared" si="12"/>
        <v>1139619.5039062493</v>
      </c>
      <c r="H13" s="35">
        <f t="shared" si="12"/>
        <v>1168109.9915039055</v>
      </c>
      <c r="I13" s="35">
        <f t="shared" si="12"/>
        <v>1197312.741291503</v>
      </c>
      <c r="J13" s="35">
        <f t="shared" si="12"/>
        <v>1227245.5598237906</v>
      </c>
      <c r="K13" s="35">
        <f t="shared" si="12"/>
        <v>1257926.6988193851</v>
      </c>
      <c r="L13" s="35">
        <f t="shared" si="12"/>
        <v>1289374.8662898696</v>
      </c>
      <c r="M13" s="35">
        <f t="shared" si="12"/>
        <v>1321609.2379471164</v>
      </c>
      <c r="N13" s="35">
        <f t="shared" si="12"/>
        <v>1354649.4688957939</v>
      </c>
      <c r="O13" s="35">
        <f t="shared" ref="O13" si="13">O12*0.85</f>
        <v>1388515.7056181887</v>
      </c>
      <c r="P13" s="35">
        <f t="shared" ref="P13:Q13" si="14">P12*0.85</f>
        <v>1423228.5982586434</v>
      </c>
      <c r="Q13" s="35">
        <f t="shared" si="14"/>
        <v>1458809.3132151093</v>
      </c>
      <c r="R13" s="17">
        <v>0</v>
      </c>
    </row>
    <row r="14" spans="2:20" x14ac:dyDescent="0.25">
      <c r="B14" s="11">
        <f>IF(OR(B10=Number_Properties,B10=""),"",B10+1)</f>
        <v>2</v>
      </c>
      <c r="C14" s="16" t="str">
        <f>IF(B14="","",VLOOKUP(B14,P_List_Table,2,FALSE))</f>
        <v>Property Name #2</v>
      </c>
      <c r="D14" s="36">
        <f>D16</f>
        <v>6225000</v>
      </c>
      <c r="E14" s="36">
        <f t="shared" ref="E14:R14" si="15">E16</f>
        <v>6380624.9999999991</v>
      </c>
      <c r="F14" s="36">
        <f t="shared" si="15"/>
        <v>6540140.6249999981</v>
      </c>
      <c r="G14" s="36">
        <f t="shared" si="15"/>
        <v>6703644.1406249963</v>
      </c>
      <c r="H14" s="36">
        <f t="shared" si="15"/>
        <v>6871235.2441406203</v>
      </c>
      <c r="I14" s="36">
        <f t="shared" si="15"/>
        <v>7043016.125244135</v>
      </c>
      <c r="J14" s="36">
        <f t="shared" si="15"/>
        <v>7219091.5283752382</v>
      </c>
      <c r="K14" s="36">
        <f t="shared" si="15"/>
        <v>7399568.8165846188</v>
      </c>
      <c r="L14" s="36">
        <f t="shared" si="15"/>
        <v>7584558.0369992331</v>
      </c>
      <c r="M14" s="36">
        <f t="shared" si="15"/>
        <v>7774171.9879242135</v>
      </c>
      <c r="N14" s="36">
        <f t="shared" si="15"/>
        <v>7968526.2876223177</v>
      </c>
      <c r="O14" s="36">
        <f t="shared" si="15"/>
        <v>8167739.4448128752</v>
      </c>
      <c r="P14" s="36">
        <f t="shared" si="15"/>
        <v>8371932.9309331961</v>
      </c>
      <c r="Q14" s="36">
        <f t="shared" si="15"/>
        <v>8581231.2542065252</v>
      </c>
      <c r="R14" s="36">
        <f t="shared" si="15"/>
        <v>0</v>
      </c>
    </row>
    <row r="15" spans="2:20" x14ac:dyDescent="0.25">
      <c r="B15" s="56" t="str">
        <f>C14&amp;C15</f>
        <v>Property Name #2EGR</v>
      </c>
      <c r="C15" s="18" t="str">
        <f>IF(C14="","","EGR")</f>
        <v>EGR</v>
      </c>
      <c r="D15" s="35">
        <f>D11*5</f>
        <v>7500000</v>
      </c>
      <c r="E15" s="35">
        <f t="shared" ref="E15:R15" si="16">E11*5</f>
        <v>7687499.9999999991</v>
      </c>
      <c r="F15" s="35">
        <f t="shared" si="16"/>
        <v>7879687.4999999981</v>
      </c>
      <c r="G15" s="35">
        <f t="shared" si="16"/>
        <v>8076679.6874999963</v>
      </c>
      <c r="H15" s="35">
        <f t="shared" si="16"/>
        <v>8278596.6796874953</v>
      </c>
      <c r="I15" s="35">
        <f t="shared" si="16"/>
        <v>8485561.5966796819</v>
      </c>
      <c r="J15" s="35">
        <f t="shared" si="16"/>
        <v>8697700.6365966722</v>
      </c>
      <c r="K15" s="35">
        <f t="shared" si="16"/>
        <v>8915143.1525115892</v>
      </c>
      <c r="L15" s="35">
        <f t="shared" si="16"/>
        <v>9138021.7313243784</v>
      </c>
      <c r="M15" s="35">
        <f t="shared" si="16"/>
        <v>9366472.274607487</v>
      </c>
      <c r="N15" s="35">
        <f t="shared" si="16"/>
        <v>9600634.0814726725</v>
      </c>
      <c r="O15" s="35">
        <f t="shared" si="16"/>
        <v>9840649.9335094895</v>
      </c>
      <c r="P15" s="35">
        <f t="shared" si="16"/>
        <v>10086666.181847226</v>
      </c>
      <c r="Q15" s="35">
        <f t="shared" si="16"/>
        <v>10338832.836393405</v>
      </c>
      <c r="R15" s="35">
        <f t="shared" si="16"/>
        <v>0</v>
      </c>
    </row>
    <row r="16" spans="2:20" x14ac:dyDescent="0.25">
      <c r="B16" s="56" t="str">
        <f>C14&amp;C16</f>
        <v>Property Name #2NOI</v>
      </c>
      <c r="C16" s="18" t="str">
        <f>IF(C14="","","NOI")</f>
        <v>NOI</v>
      </c>
      <c r="D16" s="35">
        <f t="shared" ref="D16:R17" si="17">D12*5</f>
        <v>6225000</v>
      </c>
      <c r="E16" s="35">
        <f t="shared" si="17"/>
        <v>6380624.9999999991</v>
      </c>
      <c r="F16" s="35">
        <f t="shared" si="17"/>
        <v>6540140.6249999981</v>
      </c>
      <c r="G16" s="35">
        <f t="shared" si="17"/>
        <v>6703644.1406249963</v>
      </c>
      <c r="H16" s="35">
        <f t="shared" si="17"/>
        <v>6871235.2441406203</v>
      </c>
      <c r="I16" s="35">
        <f t="shared" si="17"/>
        <v>7043016.125244135</v>
      </c>
      <c r="J16" s="35">
        <f t="shared" si="17"/>
        <v>7219091.5283752382</v>
      </c>
      <c r="K16" s="35">
        <f t="shared" si="17"/>
        <v>7399568.8165846188</v>
      </c>
      <c r="L16" s="35">
        <f t="shared" si="17"/>
        <v>7584558.0369992331</v>
      </c>
      <c r="M16" s="35">
        <f t="shared" si="17"/>
        <v>7774171.9879242135</v>
      </c>
      <c r="N16" s="35">
        <f t="shared" si="17"/>
        <v>7968526.2876223177</v>
      </c>
      <c r="O16" s="35">
        <f t="shared" si="17"/>
        <v>8167739.4448128752</v>
      </c>
      <c r="P16" s="35">
        <f t="shared" si="17"/>
        <v>8371932.9309331961</v>
      </c>
      <c r="Q16" s="35">
        <f t="shared" si="17"/>
        <v>8581231.2542065252</v>
      </c>
      <c r="R16" s="35">
        <f t="shared" si="17"/>
        <v>0</v>
      </c>
    </row>
    <row r="17" spans="2:18" x14ac:dyDescent="0.25">
      <c r="B17" s="56" t="str">
        <f>C14&amp;C17</f>
        <v>Property Name #2CFO</v>
      </c>
      <c r="C17" s="18" t="str">
        <f>IF(C14="","","CFO")</f>
        <v>CFO</v>
      </c>
      <c r="D17" s="35">
        <f t="shared" si="17"/>
        <v>5291250</v>
      </c>
      <c r="E17" s="35">
        <f t="shared" si="17"/>
        <v>5423531.2499999991</v>
      </c>
      <c r="F17" s="35">
        <f t="shared" si="17"/>
        <v>5559119.5312499981</v>
      </c>
      <c r="G17" s="35">
        <f t="shared" si="17"/>
        <v>5698097.5195312463</v>
      </c>
      <c r="H17" s="35">
        <f t="shared" si="17"/>
        <v>5840549.9575195275</v>
      </c>
      <c r="I17" s="35">
        <f t="shared" si="17"/>
        <v>5986563.7064575143</v>
      </c>
      <c r="J17" s="35">
        <f t="shared" si="17"/>
        <v>6136227.7991189528</v>
      </c>
      <c r="K17" s="35">
        <f t="shared" si="17"/>
        <v>6289633.4940969255</v>
      </c>
      <c r="L17" s="35">
        <f t="shared" si="17"/>
        <v>6446874.3314493485</v>
      </c>
      <c r="M17" s="35">
        <f t="shared" si="17"/>
        <v>6608046.1897355821</v>
      </c>
      <c r="N17" s="35">
        <f t="shared" si="17"/>
        <v>6773247.3444789695</v>
      </c>
      <c r="O17" s="35">
        <f t="shared" si="17"/>
        <v>6942578.5280909436</v>
      </c>
      <c r="P17" s="35">
        <f t="shared" si="17"/>
        <v>7116142.9912932171</v>
      </c>
      <c r="Q17" s="35">
        <f t="shared" si="17"/>
        <v>7294046.5660755467</v>
      </c>
      <c r="R17" s="35">
        <f t="shared" si="17"/>
        <v>0</v>
      </c>
    </row>
    <row r="18" spans="2:18" x14ac:dyDescent="0.25">
      <c r="B18" s="11" t="str">
        <f>IF(OR(B14=Number_Properties,B14=""),"",B14+1)</f>
        <v/>
      </c>
      <c r="C18" s="16" t="str">
        <f>IF(B18="","",VLOOKUP(B18,P_List_Table,2,FALSE))</f>
        <v/>
      </c>
      <c r="D18" s="36">
        <f>D20</f>
        <v>0</v>
      </c>
      <c r="E18" s="36">
        <f t="shared" ref="E18:R18" si="18">E20</f>
        <v>0</v>
      </c>
      <c r="F18" s="36">
        <f t="shared" si="18"/>
        <v>0</v>
      </c>
      <c r="G18" s="36">
        <f t="shared" si="18"/>
        <v>0</v>
      </c>
      <c r="H18" s="36">
        <f t="shared" si="18"/>
        <v>0</v>
      </c>
      <c r="I18" s="36">
        <f t="shared" si="18"/>
        <v>0</v>
      </c>
      <c r="J18" s="36">
        <f t="shared" si="18"/>
        <v>0</v>
      </c>
      <c r="K18" s="36">
        <f t="shared" si="18"/>
        <v>0</v>
      </c>
      <c r="L18" s="36">
        <f t="shared" si="18"/>
        <v>0</v>
      </c>
      <c r="M18" s="36">
        <f t="shared" si="18"/>
        <v>0</v>
      </c>
      <c r="N18" s="36">
        <f t="shared" si="18"/>
        <v>0</v>
      </c>
      <c r="O18" s="36">
        <f t="shared" si="18"/>
        <v>0</v>
      </c>
      <c r="P18" s="36">
        <f t="shared" si="18"/>
        <v>0</v>
      </c>
      <c r="Q18" s="36">
        <f t="shared" si="18"/>
        <v>0</v>
      </c>
      <c r="R18" s="36">
        <f t="shared" si="18"/>
        <v>0</v>
      </c>
    </row>
    <row r="19" spans="2:18" x14ac:dyDescent="0.25">
      <c r="B19" s="56" t="str">
        <f>C18&amp;C19</f>
        <v/>
      </c>
      <c r="C19" s="18" t="str">
        <f>IF(C18="","","EGR")</f>
        <v/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17">
        <v>0</v>
      </c>
      <c r="P19" s="17">
        <v>0</v>
      </c>
      <c r="Q19" s="17">
        <v>0</v>
      </c>
      <c r="R19" s="17">
        <v>0</v>
      </c>
    </row>
    <row r="20" spans="2:18" x14ac:dyDescent="0.25">
      <c r="B20" s="56" t="str">
        <f>C18&amp;C20</f>
        <v/>
      </c>
      <c r="C20" s="18" t="str">
        <f>IF(C18="","","NOI")</f>
        <v/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17">
        <v>0</v>
      </c>
      <c r="P20" s="17">
        <v>0</v>
      </c>
      <c r="Q20" s="17">
        <v>0</v>
      </c>
      <c r="R20" s="17">
        <v>0</v>
      </c>
    </row>
    <row r="21" spans="2:18" x14ac:dyDescent="0.25">
      <c r="B21" s="56" t="str">
        <f>C18&amp;C21</f>
        <v/>
      </c>
      <c r="C21" s="18" t="str">
        <f>IF(C18="","","CFO")</f>
        <v/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17">
        <v>0</v>
      </c>
      <c r="P21" s="17">
        <v>0</v>
      </c>
      <c r="Q21" s="17">
        <v>0</v>
      </c>
      <c r="R21" s="17">
        <v>0</v>
      </c>
    </row>
    <row r="22" spans="2:18" collapsed="1" x14ac:dyDescent="0.25">
      <c r="B22" s="11" t="str">
        <f>IF(OR(B18=Number_Properties,B18=""),"",B18+1)</f>
        <v/>
      </c>
      <c r="C22" s="16" t="str">
        <f>IF(B22="","",VLOOKUP(B22,P_List_Table,2,FALSE))</f>
        <v/>
      </c>
      <c r="D22" s="36">
        <f>D24</f>
        <v>0</v>
      </c>
      <c r="E22" s="36">
        <f t="shared" ref="E22:R22" si="19">E24</f>
        <v>0</v>
      </c>
      <c r="F22" s="36">
        <f t="shared" si="19"/>
        <v>0</v>
      </c>
      <c r="G22" s="36">
        <f t="shared" si="19"/>
        <v>0</v>
      </c>
      <c r="H22" s="36">
        <f t="shared" si="19"/>
        <v>0</v>
      </c>
      <c r="I22" s="36">
        <f t="shared" si="19"/>
        <v>0</v>
      </c>
      <c r="J22" s="36">
        <f t="shared" si="19"/>
        <v>0</v>
      </c>
      <c r="K22" s="36">
        <f t="shared" si="19"/>
        <v>0</v>
      </c>
      <c r="L22" s="36">
        <f t="shared" si="19"/>
        <v>0</v>
      </c>
      <c r="M22" s="36">
        <f t="shared" si="19"/>
        <v>0</v>
      </c>
      <c r="N22" s="36">
        <f t="shared" si="19"/>
        <v>0</v>
      </c>
      <c r="O22" s="36">
        <f t="shared" si="19"/>
        <v>0</v>
      </c>
      <c r="P22" s="36">
        <f t="shared" si="19"/>
        <v>0</v>
      </c>
      <c r="Q22" s="36">
        <f t="shared" si="19"/>
        <v>0</v>
      </c>
      <c r="R22" s="36">
        <f t="shared" si="19"/>
        <v>0</v>
      </c>
    </row>
    <row r="23" spans="2:18" x14ac:dyDescent="0.25">
      <c r="B23" s="56" t="str">
        <f>C22&amp;C23</f>
        <v/>
      </c>
      <c r="C23" s="18" t="str">
        <f>IF(C22="","","EGR")</f>
        <v/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17">
        <v>0</v>
      </c>
      <c r="P23" s="17">
        <v>0</v>
      </c>
      <c r="Q23" s="17">
        <v>0</v>
      </c>
      <c r="R23" s="17">
        <v>0</v>
      </c>
    </row>
    <row r="24" spans="2:18" x14ac:dyDescent="0.25">
      <c r="B24" s="56" t="str">
        <f>C22&amp;C24</f>
        <v/>
      </c>
      <c r="C24" s="18" t="str">
        <f>IF(C22="","","NOI")</f>
        <v/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17">
        <v>0</v>
      </c>
      <c r="P24" s="17">
        <v>0</v>
      </c>
      <c r="Q24" s="17">
        <v>0</v>
      </c>
      <c r="R24" s="17">
        <v>0</v>
      </c>
    </row>
    <row r="25" spans="2:18" x14ac:dyDescent="0.25">
      <c r="B25" s="56" t="str">
        <f>C22&amp;C25</f>
        <v/>
      </c>
      <c r="C25" s="18" t="str">
        <f>IF(C22="","","CFO")</f>
        <v/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17">
        <v>0</v>
      </c>
      <c r="P25" s="17">
        <v>0</v>
      </c>
      <c r="Q25" s="17">
        <v>0</v>
      </c>
      <c r="R25" s="17">
        <v>0</v>
      </c>
    </row>
    <row r="26" spans="2:18" collapsed="1" x14ac:dyDescent="0.25">
      <c r="B26" s="11" t="str">
        <f>IF(OR(B22=Number_Properties,B22=""),"",B22+1)</f>
        <v/>
      </c>
      <c r="C26" s="16" t="str">
        <f>IF(B26="","",VLOOKUP(B26,P_List_Table,2,FALSE))</f>
        <v/>
      </c>
      <c r="D26" s="36">
        <f>D28</f>
        <v>0</v>
      </c>
      <c r="E26" s="36">
        <f t="shared" ref="E26:R26" si="20">E28</f>
        <v>0</v>
      </c>
      <c r="F26" s="36">
        <f t="shared" si="20"/>
        <v>0</v>
      </c>
      <c r="G26" s="36">
        <f t="shared" si="20"/>
        <v>0</v>
      </c>
      <c r="H26" s="36">
        <f t="shared" si="20"/>
        <v>0</v>
      </c>
      <c r="I26" s="36">
        <f t="shared" si="20"/>
        <v>0</v>
      </c>
      <c r="J26" s="36">
        <f t="shared" si="20"/>
        <v>0</v>
      </c>
      <c r="K26" s="36">
        <f t="shared" si="20"/>
        <v>0</v>
      </c>
      <c r="L26" s="36">
        <f t="shared" si="20"/>
        <v>0</v>
      </c>
      <c r="M26" s="36">
        <f t="shared" si="20"/>
        <v>0</v>
      </c>
      <c r="N26" s="36">
        <f t="shared" si="20"/>
        <v>0</v>
      </c>
      <c r="O26" s="36">
        <f t="shared" si="20"/>
        <v>0</v>
      </c>
      <c r="P26" s="36">
        <f t="shared" si="20"/>
        <v>0</v>
      </c>
      <c r="Q26" s="36">
        <f t="shared" si="20"/>
        <v>0</v>
      </c>
      <c r="R26" s="36">
        <f t="shared" si="20"/>
        <v>0</v>
      </c>
    </row>
    <row r="27" spans="2:18" x14ac:dyDescent="0.25">
      <c r="B27" s="56" t="str">
        <f>C26&amp;C27</f>
        <v/>
      </c>
      <c r="C27" s="18" t="str">
        <f>IF(C26="","","EGR")</f>
        <v/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17">
        <v>0</v>
      </c>
      <c r="P27" s="17">
        <v>0</v>
      </c>
      <c r="Q27" s="17">
        <v>0</v>
      </c>
      <c r="R27" s="17">
        <v>0</v>
      </c>
    </row>
    <row r="28" spans="2:18" x14ac:dyDescent="0.25">
      <c r="B28" s="56" t="str">
        <f>C26&amp;C28</f>
        <v/>
      </c>
      <c r="C28" s="18" t="str">
        <f>IF(C26="","","NOI")</f>
        <v/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17">
        <v>0</v>
      </c>
      <c r="P28" s="17">
        <v>0</v>
      </c>
      <c r="Q28" s="17">
        <v>0</v>
      </c>
      <c r="R28" s="17">
        <v>0</v>
      </c>
    </row>
    <row r="29" spans="2:18" x14ac:dyDescent="0.25">
      <c r="B29" s="56" t="str">
        <f>C26&amp;C29</f>
        <v/>
      </c>
      <c r="C29" s="18" t="str">
        <f>IF(C26="","","CFO")</f>
        <v/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17">
        <v>0</v>
      </c>
      <c r="P29" s="17">
        <v>0</v>
      </c>
      <c r="Q29" s="17">
        <v>0</v>
      </c>
      <c r="R29" s="17">
        <v>0</v>
      </c>
    </row>
    <row r="30" spans="2:18" collapsed="1" x14ac:dyDescent="0.25">
      <c r="B30" s="11" t="str">
        <f>IF(OR(B26=Number_Properties,B26=""),"",B26+1)</f>
        <v/>
      </c>
      <c r="C30" s="16" t="str">
        <f>IF(B30="","",VLOOKUP(B30,P_List_Table,2,FALSE))</f>
        <v/>
      </c>
      <c r="D30" s="36">
        <f>D32</f>
        <v>0</v>
      </c>
      <c r="E30" s="36">
        <f t="shared" ref="E30:R30" si="21">E32</f>
        <v>0</v>
      </c>
      <c r="F30" s="36">
        <f t="shared" si="21"/>
        <v>0</v>
      </c>
      <c r="G30" s="36">
        <f t="shared" si="21"/>
        <v>0</v>
      </c>
      <c r="H30" s="36">
        <f t="shared" si="21"/>
        <v>0</v>
      </c>
      <c r="I30" s="36">
        <f t="shared" si="21"/>
        <v>0</v>
      </c>
      <c r="J30" s="36">
        <f t="shared" si="21"/>
        <v>0</v>
      </c>
      <c r="K30" s="36">
        <f t="shared" si="21"/>
        <v>0</v>
      </c>
      <c r="L30" s="36">
        <f t="shared" si="21"/>
        <v>0</v>
      </c>
      <c r="M30" s="36">
        <f t="shared" si="21"/>
        <v>0</v>
      </c>
      <c r="N30" s="36">
        <f t="shared" si="21"/>
        <v>0</v>
      </c>
      <c r="O30" s="36">
        <f t="shared" si="21"/>
        <v>0</v>
      </c>
      <c r="P30" s="36">
        <f t="shared" si="21"/>
        <v>0</v>
      </c>
      <c r="Q30" s="36">
        <f t="shared" si="21"/>
        <v>0</v>
      </c>
      <c r="R30" s="36">
        <f t="shared" si="21"/>
        <v>0</v>
      </c>
    </row>
    <row r="31" spans="2:18" x14ac:dyDescent="0.25">
      <c r="B31" s="56" t="str">
        <f>C30&amp;C31</f>
        <v/>
      </c>
      <c r="C31" s="18" t="str">
        <f>IF(C30="","","EGR")</f>
        <v/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17">
        <v>0</v>
      </c>
      <c r="P31" s="17">
        <v>0</v>
      </c>
      <c r="Q31" s="17">
        <v>0</v>
      </c>
      <c r="R31" s="17">
        <v>0</v>
      </c>
    </row>
    <row r="32" spans="2:18" x14ac:dyDescent="0.25">
      <c r="B32" s="56" t="str">
        <f>C30&amp;C32</f>
        <v/>
      </c>
      <c r="C32" s="18" t="str">
        <f>IF(C30="","","NOI")</f>
        <v/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17">
        <v>0</v>
      </c>
      <c r="P32" s="17">
        <v>0</v>
      </c>
      <c r="Q32" s="17">
        <v>0</v>
      </c>
      <c r="R32" s="17">
        <v>0</v>
      </c>
    </row>
    <row r="33" spans="2:18" x14ac:dyDescent="0.25">
      <c r="B33" s="56" t="str">
        <f>C30&amp;C33</f>
        <v/>
      </c>
      <c r="C33" s="18" t="str">
        <f>IF(C30="","","CFO")</f>
        <v/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17">
        <v>0</v>
      </c>
      <c r="P33" s="17">
        <v>0</v>
      </c>
      <c r="Q33" s="17">
        <v>0</v>
      </c>
      <c r="R33" s="17">
        <v>0</v>
      </c>
    </row>
    <row r="34" spans="2:18" collapsed="1" x14ac:dyDescent="0.25">
      <c r="B34" s="11" t="str">
        <f>IF(OR(B30=Number_Properties,B30=""),"",B30+1)</f>
        <v/>
      </c>
      <c r="C34" s="11" t="str">
        <f>IF(B34="","",VLOOKUP(B34,P_List_Table,2,FALSE))</f>
        <v/>
      </c>
      <c r="D34" s="36">
        <f>D36</f>
        <v>0</v>
      </c>
      <c r="E34" s="36">
        <f t="shared" ref="E34:R34" si="22">E36</f>
        <v>0</v>
      </c>
      <c r="F34" s="36">
        <f t="shared" si="22"/>
        <v>0</v>
      </c>
      <c r="G34" s="36">
        <f t="shared" si="22"/>
        <v>0</v>
      </c>
      <c r="H34" s="36">
        <f t="shared" si="22"/>
        <v>0</v>
      </c>
      <c r="I34" s="36">
        <f t="shared" si="22"/>
        <v>0</v>
      </c>
      <c r="J34" s="36">
        <f t="shared" si="22"/>
        <v>0</v>
      </c>
      <c r="K34" s="36">
        <f t="shared" si="22"/>
        <v>0</v>
      </c>
      <c r="L34" s="36">
        <f t="shared" si="22"/>
        <v>0</v>
      </c>
      <c r="M34" s="36">
        <f t="shared" si="22"/>
        <v>0</v>
      </c>
      <c r="N34" s="36">
        <f t="shared" si="22"/>
        <v>0</v>
      </c>
      <c r="O34" s="36">
        <f t="shared" si="22"/>
        <v>0</v>
      </c>
      <c r="P34" s="36">
        <f t="shared" si="22"/>
        <v>0</v>
      </c>
      <c r="Q34" s="36">
        <f t="shared" si="22"/>
        <v>0</v>
      </c>
      <c r="R34" s="36">
        <f t="shared" si="22"/>
        <v>0</v>
      </c>
    </row>
    <row r="35" spans="2:18" x14ac:dyDescent="0.25">
      <c r="B35" s="56" t="str">
        <f>C34&amp;C35</f>
        <v/>
      </c>
      <c r="C35" s="18" t="str">
        <f>IF(C34="","","EGR")</f>
        <v/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17">
        <v>0</v>
      </c>
      <c r="P35" s="17">
        <v>0</v>
      </c>
      <c r="Q35" s="17">
        <v>0</v>
      </c>
      <c r="R35" s="17">
        <v>0</v>
      </c>
    </row>
    <row r="36" spans="2:18" x14ac:dyDescent="0.25">
      <c r="B36" s="56" t="str">
        <f>C34&amp;C36</f>
        <v/>
      </c>
      <c r="C36" s="18" t="str">
        <f>IF(C34="","","NOI")</f>
        <v/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17">
        <v>0</v>
      </c>
      <c r="P36" s="17">
        <v>0</v>
      </c>
      <c r="Q36" s="17">
        <v>0</v>
      </c>
      <c r="R36" s="17">
        <v>0</v>
      </c>
    </row>
    <row r="37" spans="2:18" x14ac:dyDescent="0.25">
      <c r="B37" s="56" t="str">
        <f>C34&amp;C37</f>
        <v/>
      </c>
      <c r="C37" s="18" t="str">
        <f>IF(C34="","","CFO")</f>
        <v/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17">
        <v>0</v>
      </c>
      <c r="P37" s="17">
        <v>0</v>
      </c>
      <c r="Q37" s="17">
        <v>0</v>
      </c>
      <c r="R37" s="17">
        <v>0</v>
      </c>
    </row>
    <row r="38" spans="2:18" collapsed="1" x14ac:dyDescent="0.25">
      <c r="B38" s="11" t="str">
        <f>IF(OR(B34=Number_Properties,B34=""),"",B34+1)</f>
        <v/>
      </c>
      <c r="C38" s="11" t="str">
        <f>IF(B38="","",VLOOKUP(B38,P_List_Table,2,FALSE))</f>
        <v/>
      </c>
      <c r="D38" s="36">
        <f>D40</f>
        <v>0</v>
      </c>
      <c r="E38" s="36">
        <f t="shared" ref="E38:R38" si="23">E40</f>
        <v>0</v>
      </c>
      <c r="F38" s="36">
        <f t="shared" si="23"/>
        <v>0</v>
      </c>
      <c r="G38" s="36">
        <f t="shared" si="23"/>
        <v>0</v>
      </c>
      <c r="H38" s="36">
        <f t="shared" si="23"/>
        <v>0</v>
      </c>
      <c r="I38" s="36">
        <f t="shared" si="23"/>
        <v>0</v>
      </c>
      <c r="J38" s="36">
        <f t="shared" si="23"/>
        <v>0</v>
      </c>
      <c r="K38" s="36">
        <f t="shared" si="23"/>
        <v>0</v>
      </c>
      <c r="L38" s="36">
        <f t="shared" si="23"/>
        <v>0</v>
      </c>
      <c r="M38" s="36">
        <f t="shared" si="23"/>
        <v>0</v>
      </c>
      <c r="N38" s="36">
        <f t="shared" si="23"/>
        <v>0</v>
      </c>
      <c r="O38" s="36">
        <f t="shared" si="23"/>
        <v>0</v>
      </c>
      <c r="P38" s="36">
        <f t="shared" si="23"/>
        <v>0</v>
      </c>
      <c r="Q38" s="36">
        <f t="shared" si="23"/>
        <v>0</v>
      </c>
      <c r="R38" s="36">
        <f t="shared" si="23"/>
        <v>0</v>
      </c>
    </row>
    <row r="39" spans="2:18" x14ac:dyDescent="0.25">
      <c r="B39" s="56" t="str">
        <f>C38&amp;C39</f>
        <v/>
      </c>
      <c r="C39" s="18" t="str">
        <f>IF(C38="","","EGR")</f>
        <v/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17">
        <v>0</v>
      </c>
      <c r="P39" s="17">
        <v>0</v>
      </c>
      <c r="Q39" s="17">
        <v>0</v>
      </c>
      <c r="R39" s="17">
        <v>0</v>
      </c>
    </row>
    <row r="40" spans="2:18" x14ac:dyDescent="0.25">
      <c r="B40" s="56" t="str">
        <f>C38&amp;C40</f>
        <v/>
      </c>
      <c r="C40" s="18" t="str">
        <f>IF(C38="","","NOI")</f>
        <v/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17">
        <v>0</v>
      </c>
      <c r="P40" s="17">
        <v>0</v>
      </c>
      <c r="Q40" s="17">
        <v>0</v>
      </c>
      <c r="R40" s="17">
        <v>0</v>
      </c>
    </row>
    <row r="41" spans="2:18" x14ac:dyDescent="0.25">
      <c r="B41" s="56" t="str">
        <f>C38&amp;C41</f>
        <v/>
      </c>
      <c r="C41" s="18" t="str">
        <f>IF(C38="","","CFO")</f>
        <v/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17">
        <v>0</v>
      </c>
      <c r="P41" s="17">
        <v>0</v>
      </c>
      <c r="Q41" s="17">
        <v>0</v>
      </c>
      <c r="R41" s="17">
        <v>0</v>
      </c>
    </row>
    <row r="42" spans="2:18" collapsed="1" x14ac:dyDescent="0.25">
      <c r="B42" s="11" t="str">
        <f>IF(OR(B38=Number_Properties,B38=""),"",B38+1)</f>
        <v/>
      </c>
      <c r="C42" s="11" t="str">
        <f>IF(B42="","",VLOOKUP(B42,P_List_Table,2,FALSE))</f>
        <v/>
      </c>
      <c r="D42" s="36">
        <f>D44</f>
        <v>0</v>
      </c>
      <c r="E42" s="36">
        <f t="shared" ref="E42:R42" si="24">E44</f>
        <v>0</v>
      </c>
      <c r="F42" s="36">
        <f t="shared" si="24"/>
        <v>0</v>
      </c>
      <c r="G42" s="36">
        <f t="shared" si="24"/>
        <v>0</v>
      </c>
      <c r="H42" s="36">
        <f t="shared" si="24"/>
        <v>0</v>
      </c>
      <c r="I42" s="36">
        <f t="shared" si="24"/>
        <v>0</v>
      </c>
      <c r="J42" s="36">
        <f t="shared" si="24"/>
        <v>0</v>
      </c>
      <c r="K42" s="36">
        <f t="shared" si="24"/>
        <v>0</v>
      </c>
      <c r="L42" s="36">
        <f t="shared" si="24"/>
        <v>0</v>
      </c>
      <c r="M42" s="36">
        <f t="shared" si="24"/>
        <v>0</v>
      </c>
      <c r="N42" s="36">
        <f t="shared" si="24"/>
        <v>0</v>
      </c>
      <c r="O42" s="36">
        <f t="shared" si="24"/>
        <v>0</v>
      </c>
      <c r="P42" s="36">
        <f t="shared" si="24"/>
        <v>0</v>
      </c>
      <c r="Q42" s="36">
        <f t="shared" si="24"/>
        <v>0</v>
      </c>
      <c r="R42" s="36">
        <f t="shared" si="24"/>
        <v>0</v>
      </c>
    </row>
    <row r="43" spans="2:18" x14ac:dyDescent="0.25">
      <c r="B43" s="56" t="str">
        <f>C42&amp;C43</f>
        <v/>
      </c>
      <c r="C43" s="18" t="str">
        <f>IF(C42="","","EGR")</f>
        <v/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17">
        <v>0</v>
      </c>
      <c r="P43" s="17">
        <v>0</v>
      </c>
      <c r="Q43" s="17">
        <v>0</v>
      </c>
      <c r="R43" s="17">
        <v>0</v>
      </c>
    </row>
    <row r="44" spans="2:18" x14ac:dyDescent="0.25">
      <c r="B44" s="56" t="str">
        <f>C42&amp;C44</f>
        <v/>
      </c>
      <c r="C44" s="18" t="str">
        <f>IF(C42="","","NOI")</f>
        <v/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17">
        <v>0</v>
      </c>
      <c r="P44" s="17">
        <v>0</v>
      </c>
      <c r="Q44" s="17">
        <v>0</v>
      </c>
      <c r="R44" s="17">
        <v>0</v>
      </c>
    </row>
    <row r="45" spans="2:18" x14ac:dyDescent="0.25">
      <c r="B45" s="56" t="str">
        <f>C42&amp;C45</f>
        <v/>
      </c>
      <c r="C45" s="18" t="str">
        <f>IF(C42="","","CFO")</f>
        <v/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17">
        <v>0</v>
      </c>
      <c r="P45" s="17">
        <v>0</v>
      </c>
      <c r="Q45" s="17">
        <v>0</v>
      </c>
      <c r="R45" s="17">
        <v>0</v>
      </c>
    </row>
    <row r="46" spans="2:18" collapsed="1" x14ac:dyDescent="0.25">
      <c r="B46" s="11" t="str">
        <f>IF(OR(B42=Number_Properties,B42=""),"",B42+1)</f>
        <v/>
      </c>
      <c r="C46" s="11" t="str">
        <f>IF(B46="","",VLOOKUP(B46,P_List_Table,2,FALSE))</f>
        <v/>
      </c>
      <c r="D46" s="36">
        <f>D48</f>
        <v>0</v>
      </c>
      <c r="E46" s="36">
        <f t="shared" ref="E46:R46" si="25">E48</f>
        <v>0</v>
      </c>
      <c r="F46" s="36">
        <f t="shared" si="25"/>
        <v>0</v>
      </c>
      <c r="G46" s="36">
        <f t="shared" si="25"/>
        <v>0</v>
      </c>
      <c r="H46" s="36">
        <f t="shared" si="25"/>
        <v>0</v>
      </c>
      <c r="I46" s="36">
        <f t="shared" si="25"/>
        <v>0</v>
      </c>
      <c r="J46" s="36">
        <f t="shared" si="25"/>
        <v>0</v>
      </c>
      <c r="K46" s="36">
        <f t="shared" si="25"/>
        <v>0</v>
      </c>
      <c r="L46" s="36">
        <f t="shared" si="25"/>
        <v>0</v>
      </c>
      <c r="M46" s="36">
        <f t="shared" si="25"/>
        <v>0</v>
      </c>
      <c r="N46" s="36">
        <f t="shared" si="25"/>
        <v>0</v>
      </c>
      <c r="O46" s="36">
        <f t="shared" si="25"/>
        <v>0</v>
      </c>
      <c r="P46" s="36">
        <f t="shared" si="25"/>
        <v>0</v>
      </c>
      <c r="Q46" s="36">
        <f t="shared" si="25"/>
        <v>0</v>
      </c>
      <c r="R46" s="36">
        <f t="shared" si="25"/>
        <v>0</v>
      </c>
    </row>
    <row r="47" spans="2:18" x14ac:dyDescent="0.25">
      <c r="B47" s="56" t="str">
        <f>C46&amp;C47</f>
        <v/>
      </c>
      <c r="C47" s="18" t="str">
        <f>IF(C46="","","EGR")</f>
        <v/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17">
        <v>0</v>
      </c>
      <c r="P47" s="17">
        <v>0</v>
      </c>
      <c r="Q47" s="17">
        <v>0</v>
      </c>
      <c r="R47" s="17">
        <v>0</v>
      </c>
    </row>
    <row r="48" spans="2:18" x14ac:dyDescent="0.25">
      <c r="B48" s="56" t="str">
        <f>C46&amp;C48</f>
        <v/>
      </c>
      <c r="C48" s="18" t="str">
        <f>IF(C46="","","NOI")</f>
        <v/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17">
        <v>0</v>
      </c>
      <c r="P48" s="17">
        <v>0</v>
      </c>
      <c r="Q48" s="17">
        <v>0</v>
      </c>
      <c r="R48" s="17">
        <v>0</v>
      </c>
    </row>
    <row r="49" spans="2:18" x14ac:dyDescent="0.25">
      <c r="B49" s="56" t="str">
        <f>C46&amp;C49</f>
        <v/>
      </c>
      <c r="C49" s="18" t="str">
        <f>IF(C46="","","CFO")</f>
        <v/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17">
        <v>0</v>
      </c>
      <c r="P49" s="17">
        <v>0</v>
      </c>
      <c r="Q49" s="17">
        <v>0</v>
      </c>
      <c r="R49" s="17">
        <v>0</v>
      </c>
    </row>
    <row r="50" spans="2:18" collapsed="1" x14ac:dyDescent="0.25">
      <c r="B50" s="11" t="str">
        <f>IF(OR(B46=Number_Properties,B46=""),"",B46+1)</f>
        <v/>
      </c>
      <c r="C50" s="11" t="str">
        <f>IF(B50="","",VLOOKUP(B50,P_List_Table,2,FALSE))</f>
        <v/>
      </c>
      <c r="D50" s="36">
        <f>D52</f>
        <v>0</v>
      </c>
      <c r="E50" s="36">
        <f t="shared" ref="E50:R50" si="26">E52</f>
        <v>0</v>
      </c>
      <c r="F50" s="36">
        <f t="shared" si="26"/>
        <v>0</v>
      </c>
      <c r="G50" s="36">
        <f t="shared" si="26"/>
        <v>0</v>
      </c>
      <c r="H50" s="36">
        <f t="shared" si="26"/>
        <v>0</v>
      </c>
      <c r="I50" s="36">
        <f t="shared" si="26"/>
        <v>0</v>
      </c>
      <c r="J50" s="36">
        <f t="shared" si="26"/>
        <v>0</v>
      </c>
      <c r="K50" s="36">
        <f t="shared" si="26"/>
        <v>0</v>
      </c>
      <c r="L50" s="36">
        <f t="shared" si="26"/>
        <v>0</v>
      </c>
      <c r="M50" s="36">
        <f t="shared" si="26"/>
        <v>0</v>
      </c>
      <c r="N50" s="36">
        <f t="shared" si="26"/>
        <v>0</v>
      </c>
      <c r="O50" s="36">
        <f t="shared" si="26"/>
        <v>0</v>
      </c>
      <c r="P50" s="36">
        <f t="shared" si="26"/>
        <v>0</v>
      </c>
      <c r="Q50" s="36">
        <f t="shared" si="26"/>
        <v>0</v>
      </c>
      <c r="R50" s="36">
        <f t="shared" si="26"/>
        <v>0</v>
      </c>
    </row>
    <row r="51" spans="2:18" x14ac:dyDescent="0.25">
      <c r="B51" s="56" t="str">
        <f>C50&amp;C51</f>
        <v/>
      </c>
      <c r="C51" s="18" t="str">
        <f>IF(C50="","","EGR")</f>
        <v/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17">
        <v>0</v>
      </c>
      <c r="P51" s="17">
        <v>0</v>
      </c>
      <c r="Q51" s="17">
        <v>0</v>
      </c>
      <c r="R51" s="17">
        <v>0</v>
      </c>
    </row>
    <row r="52" spans="2:18" x14ac:dyDescent="0.25">
      <c r="B52" s="56" t="str">
        <f>C50&amp;C52</f>
        <v/>
      </c>
      <c r="C52" s="18" t="str">
        <f>IF(C50="","","NOI")</f>
        <v/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17">
        <v>0</v>
      </c>
      <c r="P52" s="17">
        <v>0</v>
      </c>
      <c r="Q52" s="17">
        <v>0</v>
      </c>
      <c r="R52" s="17">
        <v>0</v>
      </c>
    </row>
    <row r="53" spans="2:18" x14ac:dyDescent="0.25">
      <c r="B53" s="56" t="str">
        <f>C50&amp;C53</f>
        <v/>
      </c>
      <c r="C53" s="18" t="str">
        <f>IF(C50="","","CFO")</f>
        <v/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17">
        <v>0</v>
      </c>
      <c r="P53" s="17">
        <v>0</v>
      </c>
      <c r="Q53" s="17">
        <v>0</v>
      </c>
      <c r="R53" s="17">
        <v>0</v>
      </c>
    </row>
    <row r="54" spans="2:18" collapsed="1" x14ac:dyDescent="0.25">
      <c r="B54" s="11" t="str">
        <f>IF(OR(B50=Number_Properties,B50=""),"",B50+1)</f>
        <v/>
      </c>
      <c r="C54" s="11" t="str">
        <f>IF(B54="","",VLOOKUP(B54,P_List_Table,2,FALSE))</f>
        <v/>
      </c>
      <c r="D54" s="36">
        <f>D56</f>
        <v>0</v>
      </c>
      <c r="E54" s="36">
        <f t="shared" ref="E54:R54" si="27">E56</f>
        <v>0</v>
      </c>
      <c r="F54" s="36">
        <f t="shared" si="27"/>
        <v>0</v>
      </c>
      <c r="G54" s="36">
        <f t="shared" si="27"/>
        <v>0</v>
      </c>
      <c r="H54" s="36">
        <f t="shared" si="27"/>
        <v>0</v>
      </c>
      <c r="I54" s="36">
        <f t="shared" si="27"/>
        <v>0</v>
      </c>
      <c r="J54" s="36">
        <f t="shared" si="27"/>
        <v>0</v>
      </c>
      <c r="K54" s="36">
        <f t="shared" si="27"/>
        <v>0</v>
      </c>
      <c r="L54" s="36">
        <f t="shared" si="27"/>
        <v>0</v>
      </c>
      <c r="M54" s="36">
        <f t="shared" si="27"/>
        <v>0</v>
      </c>
      <c r="N54" s="36">
        <f t="shared" si="27"/>
        <v>0</v>
      </c>
      <c r="O54" s="36">
        <f t="shared" si="27"/>
        <v>0</v>
      </c>
      <c r="P54" s="36">
        <f t="shared" si="27"/>
        <v>0</v>
      </c>
      <c r="Q54" s="36">
        <f t="shared" si="27"/>
        <v>0</v>
      </c>
      <c r="R54" s="36">
        <f t="shared" si="27"/>
        <v>0</v>
      </c>
    </row>
    <row r="55" spans="2:18" x14ac:dyDescent="0.25">
      <c r="B55" s="56" t="str">
        <f>C54&amp;C55</f>
        <v/>
      </c>
      <c r="C55" s="18" t="str">
        <f>IF(C54="","","EGR")</f>
        <v/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17">
        <v>0</v>
      </c>
      <c r="P55" s="17">
        <v>0</v>
      </c>
      <c r="Q55" s="17">
        <v>0</v>
      </c>
      <c r="R55" s="17">
        <v>0</v>
      </c>
    </row>
    <row r="56" spans="2:18" x14ac:dyDescent="0.25">
      <c r="B56" s="56" t="str">
        <f>C54&amp;C56</f>
        <v/>
      </c>
      <c r="C56" s="18" t="str">
        <f>IF(C54="","","NOI")</f>
        <v/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17">
        <v>0</v>
      </c>
      <c r="P56" s="17">
        <v>0</v>
      </c>
      <c r="Q56" s="17">
        <v>0</v>
      </c>
      <c r="R56" s="17">
        <v>0</v>
      </c>
    </row>
    <row r="57" spans="2:18" x14ac:dyDescent="0.25">
      <c r="B57" s="56" t="str">
        <f>C54&amp;C57</f>
        <v/>
      </c>
      <c r="C57" s="18" t="str">
        <f>IF(C54="","","CFO")</f>
        <v/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17">
        <v>0</v>
      </c>
      <c r="P57" s="17">
        <v>0</v>
      </c>
      <c r="Q57" s="17">
        <v>0</v>
      </c>
      <c r="R57" s="17">
        <v>0</v>
      </c>
    </row>
    <row r="58" spans="2:18" collapsed="1" x14ac:dyDescent="0.25">
      <c r="B58" s="11" t="str">
        <f>IF(OR(B54=Number_Properties,B54=""),"",B54+1)</f>
        <v/>
      </c>
      <c r="C58" s="11" t="str">
        <f>IF(B58="","",VLOOKUP(B58,P_List_Table,2,FALSE))</f>
        <v/>
      </c>
      <c r="D58" s="36">
        <f>D60</f>
        <v>0</v>
      </c>
      <c r="E58" s="36">
        <f t="shared" ref="E58:R58" si="28">E60</f>
        <v>0</v>
      </c>
      <c r="F58" s="36">
        <f t="shared" si="28"/>
        <v>0</v>
      </c>
      <c r="G58" s="36">
        <f t="shared" si="28"/>
        <v>0</v>
      </c>
      <c r="H58" s="36">
        <f t="shared" si="28"/>
        <v>0</v>
      </c>
      <c r="I58" s="36">
        <f t="shared" si="28"/>
        <v>0</v>
      </c>
      <c r="J58" s="36">
        <f t="shared" si="28"/>
        <v>0</v>
      </c>
      <c r="K58" s="36">
        <f t="shared" si="28"/>
        <v>0</v>
      </c>
      <c r="L58" s="36">
        <f t="shared" si="28"/>
        <v>0</v>
      </c>
      <c r="M58" s="36">
        <f t="shared" si="28"/>
        <v>0</v>
      </c>
      <c r="N58" s="36">
        <f t="shared" si="28"/>
        <v>0</v>
      </c>
      <c r="O58" s="36">
        <f t="shared" si="28"/>
        <v>0</v>
      </c>
      <c r="P58" s="36">
        <f t="shared" si="28"/>
        <v>0</v>
      </c>
      <c r="Q58" s="36">
        <f t="shared" si="28"/>
        <v>0</v>
      </c>
      <c r="R58" s="36">
        <f t="shared" si="28"/>
        <v>0</v>
      </c>
    </row>
    <row r="59" spans="2:18" x14ac:dyDescent="0.25">
      <c r="B59" s="56" t="str">
        <f>C58&amp;C59</f>
        <v/>
      </c>
      <c r="C59" s="18" t="str">
        <f>IF(C58="","","EGR")</f>
        <v/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17">
        <v>0</v>
      </c>
      <c r="P59" s="17">
        <v>0</v>
      </c>
      <c r="Q59" s="17">
        <v>0</v>
      </c>
      <c r="R59" s="17">
        <v>0</v>
      </c>
    </row>
    <row r="60" spans="2:18" x14ac:dyDescent="0.25">
      <c r="B60" s="56" t="str">
        <f>C58&amp;C60</f>
        <v/>
      </c>
      <c r="C60" s="18" t="str">
        <f>IF(C58="","","NOI")</f>
        <v/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17">
        <v>0</v>
      </c>
      <c r="P60" s="17">
        <v>0</v>
      </c>
      <c r="Q60" s="17">
        <v>0</v>
      </c>
      <c r="R60" s="17">
        <v>0</v>
      </c>
    </row>
    <row r="61" spans="2:18" x14ac:dyDescent="0.25">
      <c r="B61" s="56" t="str">
        <f>C58&amp;C61</f>
        <v/>
      </c>
      <c r="C61" s="18" t="str">
        <f>IF(C58="","","CFO")</f>
        <v/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17">
        <v>0</v>
      </c>
      <c r="P61" s="17">
        <v>0</v>
      </c>
      <c r="Q61" s="17">
        <v>0</v>
      </c>
      <c r="R61" s="17">
        <v>0</v>
      </c>
    </row>
    <row r="62" spans="2:18" collapsed="1" x14ac:dyDescent="0.25">
      <c r="B62" s="11" t="str">
        <f>IF(OR(B58=Number_Properties,B58=""),"",B58+1)</f>
        <v/>
      </c>
      <c r="C62" s="11" t="str">
        <f>IF(B62="","",VLOOKUP(B62,P_List_Table,2,FALSE))</f>
        <v/>
      </c>
      <c r="D62" s="36">
        <f>D64</f>
        <v>0</v>
      </c>
      <c r="E62" s="36">
        <f t="shared" ref="E62:R62" si="29">E64</f>
        <v>0</v>
      </c>
      <c r="F62" s="36">
        <f t="shared" si="29"/>
        <v>0</v>
      </c>
      <c r="G62" s="36">
        <f t="shared" si="29"/>
        <v>0</v>
      </c>
      <c r="H62" s="36">
        <f t="shared" si="29"/>
        <v>0</v>
      </c>
      <c r="I62" s="36">
        <f t="shared" si="29"/>
        <v>0</v>
      </c>
      <c r="J62" s="36">
        <f t="shared" si="29"/>
        <v>0</v>
      </c>
      <c r="K62" s="36">
        <f t="shared" si="29"/>
        <v>0</v>
      </c>
      <c r="L62" s="36">
        <f t="shared" si="29"/>
        <v>0</v>
      </c>
      <c r="M62" s="36">
        <f t="shared" si="29"/>
        <v>0</v>
      </c>
      <c r="N62" s="36">
        <f t="shared" si="29"/>
        <v>0</v>
      </c>
      <c r="O62" s="36">
        <f t="shared" si="29"/>
        <v>0</v>
      </c>
      <c r="P62" s="36">
        <f t="shared" si="29"/>
        <v>0</v>
      </c>
      <c r="Q62" s="36">
        <f t="shared" si="29"/>
        <v>0</v>
      </c>
      <c r="R62" s="36">
        <f t="shared" si="29"/>
        <v>0</v>
      </c>
    </row>
    <row r="63" spans="2:18" x14ac:dyDescent="0.25">
      <c r="B63" s="56" t="str">
        <f>C62&amp;C63</f>
        <v/>
      </c>
      <c r="C63" s="18" t="str">
        <f>IF(C62="","","EGR")</f>
        <v/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17">
        <v>0</v>
      </c>
      <c r="P63" s="17">
        <v>0</v>
      </c>
      <c r="Q63" s="17">
        <v>0</v>
      </c>
      <c r="R63" s="17">
        <v>0</v>
      </c>
    </row>
    <row r="64" spans="2:18" x14ac:dyDescent="0.25">
      <c r="B64" s="56" t="str">
        <f>C62&amp;C64</f>
        <v/>
      </c>
      <c r="C64" s="18" t="str">
        <f>IF(C62="","","NOI")</f>
        <v/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17">
        <v>0</v>
      </c>
      <c r="P64" s="17">
        <v>0</v>
      </c>
      <c r="Q64" s="17">
        <v>0</v>
      </c>
      <c r="R64" s="17">
        <v>0</v>
      </c>
    </row>
    <row r="65" spans="2:18" x14ac:dyDescent="0.25">
      <c r="B65" s="56" t="str">
        <f>C62&amp;C65</f>
        <v/>
      </c>
      <c r="C65" s="18" t="str">
        <f>IF(C62="","","CFO")</f>
        <v/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17">
        <v>0</v>
      </c>
      <c r="P65" s="17">
        <v>0</v>
      </c>
      <c r="Q65" s="17">
        <v>0</v>
      </c>
      <c r="R65" s="17">
        <v>0</v>
      </c>
    </row>
    <row r="66" spans="2:18" collapsed="1" x14ac:dyDescent="0.25">
      <c r="B66" s="11" t="str">
        <f>IF(OR(B62=Number_Properties,B62=""),"",B62+1)</f>
        <v/>
      </c>
      <c r="C66" s="11" t="str">
        <f>IF(B66="","",VLOOKUP(B66,P_List_Table,2,FALSE))</f>
        <v/>
      </c>
      <c r="D66" s="36">
        <f>D68</f>
        <v>0</v>
      </c>
      <c r="E66" s="36">
        <f t="shared" ref="E66:R66" si="30">E68</f>
        <v>0</v>
      </c>
      <c r="F66" s="36">
        <f t="shared" si="30"/>
        <v>0</v>
      </c>
      <c r="G66" s="36">
        <f t="shared" si="30"/>
        <v>0</v>
      </c>
      <c r="H66" s="36">
        <f t="shared" si="30"/>
        <v>0</v>
      </c>
      <c r="I66" s="36">
        <f t="shared" si="30"/>
        <v>0</v>
      </c>
      <c r="J66" s="36">
        <f t="shared" si="30"/>
        <v>0</v>
      </c>
      <c r="K66" s="36">
        <f t="shared" si="30"/>
        <v>0</v>
      </c>
      <c r="L66" s="36">
        <f t="shared" si="30"/>
        <v>0</v>
      </c>
      <c r="M66" s="36">
        <f t="shared" si="30"/>
        <v>0</v>
      </c>
      <c r="N66" s="36">
        <f t="shared" si="30"/>
        <v>0</v>
      </c>
      <c r="O66" s="36">
        <f t="shared" si="30"/>
        <v>0</v>
      </c>
      <c r="P66" s="36">
        <f t="shared" si="30"/>
        <v>0</v>
      </c>
      <c r="Q66" s="36">
        <f t="shared" si="30"/>
        <v>0</v>
      </c>
      <c r="R66" s="36">
        <f t="shared" si="30"/>
        <v>0</v>
      </c>
    </row>
    <row r="67" spans="2:18" x14ac:dyDescent="0.25">
      <c r="B67" s="56" t="str">
        <f>C66&amp;C67</f>
        <v/>
      </c>
      <c r="C67" s="18" t="str">
        <f>IF(C66="","","EGR")</f>
        <v/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17">
        <v>0</v>
      </c>
      <c r="P67" s="17">
        <v>0</v>
      </c>
      <c r="Q67" s="17">
        <v>0</v>
      </c>
      <c r="R67" s="17">
        <v>0</v>
      </c>
    </row>
    <row r="68" spans="2:18" x14ac:dyDescent="0.25">
      <c r="B68" s="56" t="str">
        <f>C66&amp;C68</f>
        <v/>
      </c>
      <c r="C68" s="18" t="str">
        <f>IF(C66="","","NOI")</f>
        <v/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17">
        <v>0</v>
      </c>
      <c r="P68" s="17">
        <v>0</v>
      </c>
      <c r="Q68" s="17">
        <v>0</v>
      </c>
      <c r="R68" s="17">
        <v>0</v>
      </c>
    </row>
    <row r="69" spans="2:18" x14ac:dyDescent="0.25">
      <c r="B69" s="56" t="str">
        <f>C66&amp;C69</f>
        <v/>
      </c>
      <c r="C69" s="18" t="str">
        <f>IF(C66="","","CFO")</f>
        <v/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17">
        <v>0</v>
      </c>
      <c r="P69" s="17">
        <v>0</v>
      </c>
      <c r="Q69" s="17">
        <v>0</v>
      </c>
      <c r="R69" s="17">
        <v>0</v>
      </c>
    </row>
    <row r="70" spans="2:18" collapsed="1" x14ac:dyDescent="0.25">
      <c r="B70" s="11" t="str">
        <f>IF(OR(B66=Number_Properties,B66=""),"",B66+1)</f>
        <v/>
      </c>
      <c r="C70" s="11" t="str">
        <f>IF(B70="","",VLOOKUP(B70,P_List_Table,2,FALSE))</f>
        <v/>
      </c>
      <c r="D70" s="36">
        <f>D72</f>
        <v>0</v>
      </c>
      <c r="E70" s="36">
        <f t="shared" ref="E70:R70" si="31">E72</f>
        <v>0</v>
      </c>
      <c r="F70" s="36">
        <f t="shared" si="31"/>
        <v>0</v>
      </c>
      <c r="G70" s="36">
        <f t="shared" si="31"/>
        <v>0</v>
      </c>
      <c r="H70" s="36">
        <f t="shared" si="31"/>
        <v>0</v>
      </c>
      <c r="I70" s="36">
        <f t="shared" si="31"/>
        <v>0</v>
      </c>
      <c r="J70" s="36">
        <f t="shared" si="31"/>
        <v>0</v>
      </c>
      <c r="K70" s="36">
        <f t="shared" si="31"/>
        <v>0</v>
      </c>
      <c r="L70" s="36">
        <f t="shared" si="31"/>
        <v>0</v>
      </c>
      <c r="M70" s="36">
        <f t="shared" si="31"/>
        <v>0</v>
      </c>
      <c r="N70" s="36">
        <f t="shared" si="31"/>
        <v>0</v>
      </c>
      <c r="O70" s="36">
        <f t="shared" si="31"/>
        <v>0</v>
      </c>
      <c r="P70" s="36">
        <f t="shared" si="31"/>
        <v>0</v>
      </c>
      <c r="Q70" s="36">
        <f t="shared" si="31"/>
        <v>0</v>
      </c>
      <c r="R70" s="36">
        <f t="shared" si="31"/>
        <v>0</v>
      </c>
    </row>
    <row r="71" spans="2:18" x14ac:dyDescent="0.25">
      <c r="B71" s="56" t="str">
        <f>C70&amp;C71</f>
        <v/>
      </c>
      <c r="C71" s="18" t="str">
        <f>IF(C70="","","EGR")</f>
        <v/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17">
        <v>0</v>
      </c>
      <c r="P71" s="17">
        <v>0</v>
      </c>
      <c r="Q71" s="17">
        <v>0</v>
      </c>
      <c r="R71" s="17">
        <v>0</v>
      </c>
    </row>
    <row r="72" spans="2:18" x14ac:dyDescent="0.25">
      <c r="B72" s="56" t="str">
        <f>C70&amp;C72</f>
        <v/>
      </c>
      <c r="C72" s="18" t="str">
        <f>IF(C70="","","NOI")</f>
        <v/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17">
        <v>0</v>
      </c>
      <c r="P72" s="17">
        <v>0</v>
      </c>
      <c r="Q72" s="17">
        <v>0</v>
      </c>
      <c r="R72" s="17">
        <v>0</v>
      </c>
    </row>
    <row r="73" spans="2:18" x14ac:dyDescent="0.25">
      <c r="B73" s="56" t="str">
        <f>C70&amp;C73</f>
        <v/>
      </c>
      <c r="C73" s="18" t="str">
        <f>IF(C70="","","CFO")</f>
        <v/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17">
        <v>0</v>
      </c>
      <c r="P73" s="17">
        <v>0</v>
      </c>
      <c r="Q73" s="17">
        <v>0</v>
      </c>
      <c r="R73" s="17">
        <v>0</v>
      </c>
    </row>
    <row r="74" spans="2:18" collapsed="1" x14ac:dyDescent="0.25">
      <c r="B74" s="11" t="str">
        <f>IF(OR(B70=Number_Properties,B70=""),"",B70+1)</f>
        <v/>
      </c>
      <c r="C74" s="11" t="str">
        <f>IF(B74="","",VLOOKUP(B74,P_List_Table,2,FALSE))</f>
        <v/>
      </c>
      <c r="D74" s="36">
        <f>D76</f>
        <v>0</v>
      </c>
      <c r="E74" s="36">
        <f t="shared" ref="E74:R74" si="32">E76</f>
        <v>0</v>
      </c>
      <c r="F74" s="36">
        <f t="shared" si="32"/>
        <v>0</v>
      </c>
      <c r="G74" s="36">
        <f t="shared" si="32"/>
        <v>0</v>
      </c>
      <c r="H74" s="36">
        <f t="shared" si="32"/>
        <v>0</v>
      </c>
      <c r="I74" s="36">
        <f t="shared" si="32"/>
        <v>0</v>
      </c>
      <c r="J74" s="36">
        <f t="shared" si="32"/>
        <v>0</v>
      </c>
      <c r="K74" s="36">
        <f t="shared" si="32"/>
        <v>0</v>
      </c>
      <c r="L74" s="36">
        <f t="shared" si="32"/>
        <v>0</v>
      </c>
      <c r="M74" s="36">
        <f t="shared" si="32"/>
        <v>0</v>
      </c>
      <c r="N74" s="36">
        <f t="shared" si="32"/>
        <v>0</v>
      </c>
      <c r="O74" s="36">
        <f t="shared" si="32"/>
        <v>0</v>
      </c>
      <c r="P74" s="36">
        <f t="shared" si="32"/>
        <v>0</v>
      </c>
      <c r="Q74" s="36">
        <f t="shared" si="32"/>
        <v>0</v>
      </c>
      <c r="R74" s="36">
        <f t="shared" si="32"/>
        <v>0</v>
      </c>
    </row>
    <row r="75" spans="2:18" x14ac:dyDescent="0.25">
      <c r="B75" s="56" t="str">
        <f>C74&amp;C75</f>
        <v/>
      </c>
      <c r="C75" s="18" t="str">
        <f>IF(C74="","","EGR")</f>
        <v/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17">
        <v>0</v>
      </c>
      <c r="P75" s="17">
        <v>0</v>
      </c>
      <c r="Q75" s="17">
        <v>0</v>
      </c>
      <c r="R75" s="17">
        <v>0</v>
      </c>
    </row>
    <row r="76" spans="2:18" x14ac:dyDescent="0.25">
      <c r="B76" s="56" t="str">
        <f>C74&amp;C76</f>
        <v/>
      </c>
      <c r="C76" s="18" t="str">
        <f>IF(C74="","","NOI")</f>
        <v/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17">
        <v>0</v>
      </c>
      <c r="P76" s="17">
        <v>0</v>
      </c>
      <c r="Q76" s="17">
        <v>0</v>
      </c>
      <c r="R76" s="17">
        <v>0</v>
      </c>
    </row>
    <row r="77" spans="2:18" x14ac:dyDescent="0.25">
      <c r="B77" s="56" t="str">
        <f>C74&amp;C77</f>
        <v/>
      </c>
      <c r="C77" s="18" t="str">
        <f>IF(C74="","","CFO")</f>
        <v/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17">
        <v>0</v>
      </c>
      <c r="P77" s="17">
        <v>0</v>
      </c>
      <c r="Q77" s="17">
        <v>0</v>
      </c>
      <c r="R77" s="17">
        <v>0</v>
      </c>
    </row>
    <row r="78" spans="2:18" collapsed="1" x14ac:dyDescent="0.25">
      <c r="B78" s="11" t="str">
        <f>IF(OR(B74=Number_Properties,B74=""),"",B74+1)</f>
        <v/>
      </c>
      <c r="C78" s="11" t="str">
        <f>IF(B78="","",VLOOKUP(B78,P_List_Table,2,FALSE))</f>
        <v/>
      </c>
      <c r="D78" s="36">
        <f>D80</f>
        <v>0</v>
      </c>
      <c r="E78" s="36">
        <f t="shared" ref="E78:R78" si="33">E80</f>
        <v>0</v>
      </c>
      <c r="F78" s="36">
        <f t="shared" si="33"/>
        <v>0</v>
      </c>
      <c r="G78" s="36">
        <f t="shared" si="33"/>
        <v>0</v>
      </c>
      <c r="H78" s="36">
        <f t="shared" si="33"/>
        <v>0</v>
      </c>
      <c r="I78" s="36">
        <f t="shared" si="33"/>
        <v>0</v>
      </c>
      <c r="J78" s="36">
        <f t="shared" si="33"/>
        <v>0</v>
      </c>
      <c r="K78" s="36">
        <f t="shared" si="33"/>
        <v>0</v>
      </c>
      <c r="L78" s="36">
        <f t="shared" si="33"/>
        <v>0</v>
      </c>
      <c r="M78" s="36">
        <f t="shared" si="33"/>
        <v>0</v>
      </c>
      <c r="N78" s="36">
        <f t="shared" si="33"/>
        <v>0</v>
      </c>
      <c r="O78" s="36">
        <f t="shared" si="33"/>
        <v>0</v>
      </c>
      <c r="P78" s="36">
        <f t="shared" si="33"/>
        <v>0</v>
      </c>
      <c r="Q78" s="36">
        <f t="shared" si="33"/>
        <v>0</v>
      </c>
      <c r="R78" s="36">
        <f t="shared" si="33"/>
        <v>0</v>
      </c>
    </row>
    <row r="79" spans="2:18" x14ac:dyDescent="0.25">
      <c r="B79" s="56" t="str">
        <f>C78&amp;C79</f>
        <v/>
      </c>
      <c r="C79" s="18" t="str">
        <f>IF(C78="","","EGR")</f>
        <v/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17">
        <v>0</v>
      </c>
      <c r="P79" s="17">
        <v>0</v>
      </c>
      <c r="Q79" s="17">
        <v>0</v>
      </c>
      <c r="R79" s="17">
        <v>0</v>
      </c>
    </row>
    <row r="80" spans="2:18" x14ac:dyDescent="0.25">
      <c r="B80" s="56" t="str">
        <f>C78&amp;C80</f>
        <v/>
      </c>
      <c r="C80" s="18" t="str">
        <f>IF(C78="","","NOI")</f>
        <v/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17">
        <v>0</v>
      </c>
      <c r="P80" s="17">
        <v>0</v>
      </c>
      <c r="Q80" s="17">
        <v>0</v>
      </c>
      <c r="R80" s="17">
        <v>0</v>
      </c>
    </row>
    <row r="81" spans="2:18" x14ac:dyDescent="0.25">
      <c r="B81" s="56" t="str">
        <f>C78&amp;C81</f>
        <v/>
      </c>
      <c r="C81" s="18" t="str">
        <f>IF(C78="","","CFO")</f>
        <v/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17">
        <v>0</v>
      </c>
      <c r="P81" s="17">
        <v>0</v>
      </c>
      <c r="Q81" s="17">
        <v>0</v>
      </c>
      <c r="R81" s="17">
        <v>0</v>
      </c>
    </row>
    <row r="82" spans="2:18" collapsed="1" x14ac:dyDescent="0.25">
      <c r="B82" s="11" t="str">
        <f>IF(OR(B78=Number_Properties,B78=""),"",B78+1)</f>
        <v/>
      </c>
      <c r="C82" s="11" t="str">
        <f>IF(B82="","",VLOOKUP(B82,P_List_Table,2,FALSE))</f>
        <v/>
      </c>
      <c r="D82" s="36">
        <f>D84</f>
        <v>0</v>
      </c>
      <c r="E82" s="36">
        <f t="shared" ref="E82:R82" si="34">E84</f>
        <v>0</v>
      </c>
      <c r="F82" s="36">
        <f t="shared" si="34"/>
        <v>0</v>
      </c>
      <c r="G82" s="36">
        <f t="shared" si="34"/>
        <v>0</v>
      </c>
      <c r="H82" s="36">
        <f t="shared" si="34"/>
        <v>0</v>
      </c>
      <c r="I82" s="36">
        <f t="shared" si="34"/>
        <v>0</v>
      </c>
      <c r="J82" s="36">
        <f t="shared" si="34"/>
        <v>0</v>
      </c>
      <c r="K82" s="36">
        <f t="shared" si="34"/>
        <v>0</v>
      </c>
      <c r="L82" s="36">
        <f t="shared" si="34"/>
        <v>0</v>
      </c>
      <c r="M82" s="36">
        <f t="shared" si="34"/>
        <v>0</v>
      </c>
      <c r="N82" s="36">
        <f t="shared" si="34"/>
        <v>0</v>
      </c>
      <c r="O82" s="36">
        <f t="shared" si="34"/>
        <v>0</v>
      </c>
      <c r="P82" s="36">
        <f t="shared" si="34"/>
        <v>0</v>
      </c>
      <c r="Q82" s="36">
        <f t="shared" si="34"/>
        <v>0</v>
      </c>
      <c r="R82" s="36">
        <f t="shared" si="34"/>
        <v>0</v>
      </c>
    </row>
    <row r="83" spans="2:18" x14ac:dyDescent="0.25">
      <c r="B83" s="56" t="str">
        <f>C82&amp;C83</f>
        <v/>
      </c>
      <c r="C83" s="18" t="str">
        <f>IF(C82="","","EGR")</f>
        <v/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17">
        <v>0</v>
      </c>
      <c r="P83" s="17">
        <v>0</v>
      </c>
      <c r="Q83" s="17">
        <v>0</v>
      </c>
      <c r="R83" s="17">
        <v>0</v>
      </c>
    </row>
    <row r="84" spans="2:18" x14ac:dyDescent="0.25">
      <c r="B84" s="56" t="str">
        <f>C82&amp;C84</f>
        <v/>
      </c>
      <c r="C84" s="18" t="str">
        <f>IF(C82="","","NOI")</f>
        <v/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17">
        <v>0</v>
      </c>
      <c r="P84" s="17">
        <v>0</v>
      </c>
      <c r="Q84" s="17">
        <v>0</v>
      </c>
      <c r="R84" s="17">
        <v>0</v>
      </c>
    </row>
    <row r="85" spans="2:18" x14ac:dyDescent="0.25">
      <c r="B85" s="56" t="str">
        <f>C82&amp;C85</f>
        <v/>
      </c>
      <c r="C85" s="18" t="str">
        <f>IF(C82="","","CFO")</f>
        <v/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17">
        <v>0</v>
      </c>
      <c r="P85" s="17">
        <v>0</v>
      </c>
      <c r="Q85" s="17">
        <v>0</v>
      </c>
      <c r="R85" s="17">
        <v>0</v>
      </c>
    </row>
    <row r="86" spans="2:18" collapsed="1" x14ac:dyDescent="0.25">
      <c r="B86" s="11" t="str">
        <f>IF(OR(B82=Number_Properties,B82=""),"",B82+1)</f>
        <v/>
      </c>
      <c r="C86" s="11" t="str">
        <f>IF(B86="","",VLOOKUP(B86,P_List_Table,2,FALSE))</f>
        <v/>
      </c>
      <c r="D86" s="36">
        <f>D88</f>
        <v>0</v>
      </c>
      <c r="E86" s="36">
        <f t="shared" ref="E86:R86" si="35">E88</f>
        <v>0</v>
      </c>
      <c r="F86" s="36">
        <f t="shared" si="35"/>
        <v>0</v>
      </c>
      <c r="G86" s="36">
        <f t="shared" si="35"/>
        <v>0</v>
      </c>
      <c r="H86" s="36">
        <f t="shared" si="35"/>
        <v>0</v>
      </c>
      <c r="I86" s="36">
        <f t="shared" si="35"/>
        <v>0</v>
      </c>
      <c r="J86" s="36">
        <f t="shared" si="35"/>
        <v>0</v>
      </c>
      <c r="K86" s="36">
        <f t="shared" si="35"/>
        <v>0</v>
      </c>
      <c r="L86" s="36">
        <f t="shared" si="35"/>
        <v>0</v>
      </c>
      <c r="M86" s="36">
        <f t="shared" si="35"/>
        <v>0</v>
      </c>
      <c r="N86" s="36">
        <f t="shared" si="35"/>
        <v>0</v>
      </c>
      <c r="O86" s="36">
        <f t="shared" si="35"/>
        <v>0</v>
      </c>
      <c r="P86" s="36">
        <f t="shared" si="35"/>
        <v>0</v>
      </c>
      <c r="Q86" s="36">
        <f t="shared" si="35"/>
        <v>0</v>
      </c>
      <c r="R86" s="36">
        <f t="shared" si="35"/>
        <v>0</v>
      </c>
    </row>
    <row r="87" spans="2:18" x14ac:dyDescent="0.25">
      <c r="B87" s="56" t="str">
        <f>C86&amp;C87</f>
        <v/>
      </c>
      <c r="C87" s="18" t="str">
        <f>IF(C86="","","EGR")</f>
        <v/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17">
        <v>0</v>
      </c>
      <c r="P87" s="17">
        <v>0</v>
      </c>
      <c r="Q87" s="17">
        <v>0</v>
      </c>
      <c r="R87" s="17">
        <v>0</v>
      </c>
    </row>
    <row r="88" spans="2:18" x14ac:dyDescent="0.25">
      <c r="B88" s="56" t="str">
        <f>C86&amp;C88</f>
        <v/>
      </c>
      <c r="C88" s="18" t="str">
        <f>IF(C86="","","NOI")</f>
        <v/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17">
        <v>0</v>
      </c>
      <c r="P88" s="17">
        <v>0</v>
      </c>
      <c r="Q88" s="17">
        <v>0</v>
      </c>
      <c r="R88" s="17">
        <v>0</v>
      </c>
    </row>
    <row r="89" spans="2:18" x14ac:dyDescent="0.25">
      <c r="B89" s="56" t="str">
        <f>C86&amp;C89</f>
        <v/>
      </c>
      <c r="C89" s="18" t="str">
        <f>IF(C86="","","CFO")</f>
        <v/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17">
        <v>0</v>
      </c>
      <c r="P89" s="17">
        <v>0</v>
      </c>
      <c r="Q89" s="17">
        <v>0</v>
      </c>
      <c r="R89" s="17">
        <v>0</v>
      </c>
    </row>
    <row r="90" spans="2:18" collapsed="1" x14ac:dyDescent="0.25">
      <c r="B90" s="11" t="str">
        <f>IF(OR(B86=Number_Properties,B86=""),"",B86+1)</f>
        <v/>
      </c>
      <c r="C90" s="11" t="str">
        <f>IF(B90="","",VLOOKUP(B90,P_List_Table,2,FALSE))</f>
        <v/>
      </c>
      <c r="D90" s="36">
        <f>D92</f>
        <v>0</v>
      </c>
      <c r="E90" s="36">
        <f t="shared" ref="E90:R90" si="36">E92</f>
        <v>0</v>
      </c>
      <c r="F90" s="36">
        <f t="shared" si="36"/>
        <v>0</v>
      </c>
      <c r="G90" s="36">
        <f t="shared" si="36"/>
        <v>0</v>
      </c>
      <c r="H90" s="36">
        <f t="shared" si="36"/>
        <v>0</v>
      </c>
      <c r="I90" s="36">
        <f t="shared" si="36"/>
        <v>0</v>
      </c>
      <c r="J90" s="36">
        <f t="shared" si="36"/>
        <v>0</v>
      </c>
      <c r="K90" s="36">
        <f t="shared" si="36"/>
        <v>0</v>
      </c>
      <c r="L90" s="36">
        <f t="shared" si="36"/>
        <v>0</v>
      </c>
      <c r="M90" s="36">
        <f t="shared" si="36"/>
        <v>0</v>
      </c>
      <c r="N90" s="36">
        <f t="shared" si="36"/>
        <v>0</v>
      </c>
      <c r="O90" s="36">
        <f t="shared" si="36"/>
        <v>0</v>
      </c>
      <c r="P90" s="36">
        <f t="shared" si="36"/>
        <v>0</v>
      </c>
      <c r="Q90" s="36">
        <f t="shared" si="36"/>
        <v>0</v>
      </c>
      <c r="R90" s="36">
        <f t="shared" si="36"/>
        <v>0</v>
      </c>
    </row>
    <row r="91" spans="2:18" x14ac:dyDescent="0.25">
      <c r="B91" s="56" t="str">
        <f>C90&amp;C91</f>
        <v/>
      </c>
      <c r="C91" s="18" t="str">
        <f>IF(C90="","","EGR")</f>
        <v/>
      </c>
      <c r="D91" s="35">
        <v>0</v>
      </c>
      <c r="E91" s="35">
        <v>0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17">
        <v>0</v>
      </c>
      <c r="P91" s="17">
        <v>0</v>
      </c>
      <c r="Q91" s="17">
        <v>0</v>
      </c>
      <c r="R91" s="17">
        <v>0</v>
      </c>
    </row>
    <row r="92" spans="2:18" x14ac:dyDescent="0.25">
      <c r="B92" s="56" t="str">
        <f>C90&amp;C92</f>
        <v/>
      </c>
      <c r="C92" s="18" t="str">
        <f>IF(C90="","","NOI")</f>
        <v/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17">
        <v>0</v>
      </c>
      <c r="P92" s="17">
        <v>0</v>
      </c>
      <c r="Q92" s="17">
        <v>0</v>
      </c>
      <c r="R92" s="17">
        <v>0</v>
      </c>
    </row>
    <row r="93" spans="2:18" x14ac:dyDescent="0.25">
      <c r="B93" s="56" t="str">
        <f>C90&amp;C93</f>
        <v/>
      </c>
      <c r="C93" s="18" t="str">
        <f>IF(C90="","","CFO")</f>
        <v/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17">
        <v>0</v>
      </c>
      <c r="P93" s="17">
        <v>0</v>
      </c>
      <c r="Q93" s="17">
        <v>0</v>
      </c>
      <c r="R93" s="17">
        <v>0</v>
      </c>
    </row>
    <row r="94" spans="2:18" collapsed="1" x14ac:dyDescent="0.25">
      <c r="B94" s="11" t="str">
        <f>IF(OR(B90=Number_Properties,B90=""),"",B90+1)</f>
        <v/>
      </c>
      <c r="C94" s="11" t="str">
        <f>IF(B94="","",VLOOKUP(B94,P_List_Table,2,FALSE))</f>
        <v/>
      </c>
      <c r="D94" s="36">
        <f>D96</f>
        <v>0</v>
      </c>
      <c r="E94" s="36">
        <f t="shared" ref="E94:R94" si="37">E96</f>
        <v>0</v>
      </c>
      <c r="F94" s="36">
        <f t="shared" si="37"/>
        <v>0</v>
      </c>
      <c r="G94" s="36">
        <f t="shared" si="37"/>
        <v>0</v>
      </c>
      <c r="H94" s="36">
        <f t="shared" si="37"/>
        <v>0</v>
      </c>
      <c r="I94" s="36">
        <f t="shared" si="37"/>
        <v>0</v>
      </c>
      <c r="J94" s="36">
        <f t="shared" si="37"/>
        <v>0</v>
      </c>
      <c r="K94" s="36">
        <f t="shared" si="37"/>
        <v>0</v>
      </c>
      <c r="L94" s="36">
        <f t="shared" si="37"/>
        <v>0</v>
      </c>
      <c r="M94" s="36">
        <f t="shared" si="37"/>
        <v>0</v>
      </c>
      <c r="N94" s="36">
        <f t="shared" si="37"/>
        <v>0</v>
      </c>
      <c r="O94" s="36">
        <f t="shared" si="37"/>
        <v>0</v>
      </c>
      <c r="P94" s="36">
        <f t="shared" si="37"/>
        <v>0</v>
      </c>
      <c r="Q94" s="36">
        <f t="shared" si="37"/>
        <v>0</v>
      </c>
      <c r="R94" s="36">
        <f t="shared" si="37"/>
        <v>0</v>
      </c>
    </row>
    <row r="95" spans="2:18" x14ac:dyDescent="0.25">
      <c r="B95" s="56" t="str">
        <f>C94&amp;C95</f>
        <v/>
      </c>
      <c r="C95" s="18" t="str">
        <f>IF(C94="","","EGR")</f>
        <v/>
      </c>
      <c r="D95" s="35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17">
        <v>0</v>
      </c>
      <c r="P95" s="17">
        <v>0</v>
      </c>
      <c r="Q95" s="17">
        <v>0</v>
      </c>
      <c r="R95" s="17">
        <v>0</v>
      </c>
    </row>
    <row r="96" spans="2:18" x14ac:dyDescent="0.25">
      <c r="B96" s="56" t="str">
        <f>C94&amp;C96</f>
        <v/>
      </c>
      <c r="C96" s="18" t="str">
        <f>IF(C94="","","NOI")</f>
        <v/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17">
        <v>0</v>
      </c>
      <c r="P96" s="17">
        <v>0</v>
      </c>
      <c r="Q96" s="17">
        <v>0</v>
      </c>
      <c r="R96" s="17">
        <v>0</v>
      </c>
    </row>
    <row r="97" spans="2:18" x14ac:dyDescent="0.25">
      <c r="B97" s="56" t="str">
        <f>C94&amp;C97</f>
        <v/>
      </c>
      <c r="C97" s="18" t="str">
        <f>IF(C94="","","CFO")</f>
        <v/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17">
        <v>0</v>
      </c>
      <c r="P97" s="17">
        <v>0</v>
      </c>
      <c r="Q97" s="17">
        <v>0</v>
      </c>
      <c r="R97" s="17">
        <v>0</v>
      </c>
    </row>
    <row r="98" spans="2:18" collapsed="1" x14ac:dyDescent="0.25">
      <c r="B98" s="11" t="str">
        <f>IF(OR(B94=Number_Properties,B94=""),"",B94+1)</f>
        <v/>
      </c>
      <c r="C98" s="11" t="str">
        <f>IF(B98="","",VLOOKUP(B98,P_List_Table,2,FALSE))</f>
        <v/>
      </c>
      <c r="D98" s="36">
        <f>D100</f>
        <v>0</v>
      </c>
      <c r="E98" s="36">
        <f t="shared" ref="E98:R98" si="38">E100</f>
        <v>0</v>
      </c>
      <c r="F98" s="36">
        <f t="shared" si="38"/>
        <v>0</v>
      </c>
      <c r="G98" s="36">
        <f t="shared" si="38"/>
        <v>0</v>
      </c>
      <c r="H98" s="36">
        <f t="shared" si="38"/>
        <v>0</v>
      </c>
      <c r="I98" s="36">
        <f t="shared" si="38"/>
        <v>0</v>
      </c>
      <c r="J98" s="36">
        <f t="shared" si="38"/>
        <v>0</v>
      </c>
      <c r="K98" s="36">
        <f t="shared" si="38"/>
        <v>0</v>
      </c>
      <c r="L98" s="36">
        <f t="shared" si="38"/>
        <v>0</v>
      </c>
      <c r="M98" s="36">
        <f t="shared" si="38"/>
        <v>0</v>
      </c>
      <c r="N98" s="36">
        <f t="shared" si="38"/>
        <v>0</v>
      </c>
      <c r="O98" s="36">
        <f t="shared" si="38"/>
        <v>0</v>
      </c>
      <c r="P98" s="36">
        <f t="shared" si="38"/>
        <v>0</v>
      </c>
      <c r="Q98" s="36">
        <f t="shared" si="38"/>
        <v>0</v>
      </c>
      <c r="R98" s="36">
        <f t="shared" si="38"/>
        <v>0</v>
      </c>
    </row>
    <row r="99" spans="2:18" x14ac:dyDescent="0.25">
      <c r="B99" s="56" t="str">
        <f>C98&amp;C99</f>
        <v/>
      </c>
      <c r="C99" s="18" t="str">
        <f>IF(C98="","","EGR")</f>
        <v/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17">
        <v>0</v>
      </c>
      <c r="P99" s="17">
        <v>0</v>
      </c>
      <c r="Q99" s="17">
        <v>0</v>
      </c>
      <c r="R99" s="17">
        <v>0</v>
      </c>
    </row>
    <row r="100" spans="2:18" x14ac:dyDescent="0.25">
      <c r="B100" s="56" t="str">
        <f>C98&amp;C100</f>
        <v/>
      </c>
      <c r="C100" s="18" t="str">
        <f>IF(C98="","","NOI")</f>
        <v/>
      </c>
      <c r="D100" s="35">
        <v>0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17">
        <v>0</v>
      </c>
      <c r="P100" s="17">
        <v>0</v>
      </c>
      <c r="Q100" s="17">
        <v>0</v>
      </c>
      <c r="R100" s="17">
        <v>0</v>
      </c>
    </row>
    <row r="101" spans="2:18" x14ac:dyDescent="0.25">
      <c r="B101" s="56" t="str">
        <f>C98&amp;C101</f>
        <v/>
      </c>
      <c r="C101" s="18" t="str">
        <f>IF(C98="","","CFO")</f>
        <v/>
      </c>
      <c r="D101" s="35">
        <v>0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17">
        <v>0</v>
      </c>
      <c r="P101" s="17">
        <v>0</v>
      </c>
      <c r="Q101" s="17">
        <v>0</v>
      </c>
      <c r="R101" s="17">
        <v>0</v>
      </c>
    </row>
    <row r="102" spans="2:18" collapsed="1" x14ac:dyDescent="0.25">
      <c r="B102" s="11" t="str">
        <f>IF(OR(B98=Number_Properties,B98=""),"",B98+1)</f>
        <v/>
      </c>
      <c r="C102" s="11" t="str">
        <f>IF(B102="","",VLOOKUP(B102,P_List_Table,2,FALSE))</f>
        <v/>
      </c>
      <c r="D102" s="36">
        <f>D104</f>
        <v>0</v>
      </c>
      <c r="E102" s="36">
        <f t="shared" ref="E102:R102" si="39">E104</f>
        <v>0</v>
      </c>
      <c r="F102" s="36">
        <f t="shared" si="39"/>
        <v>0</v>
      </c>
      <c r="G102" s="36">
        <f t="shared" si="39"/>
        <v>0</v>
      </c>
      <c r="H102" s="36">
        <f t="shared" si="39"/>
        <v>0</v>
      </c>
      <c r="I102" s="36">
        <f t="shared" si="39"/>
        <v>0</v>
      </c>
      <c r="J102" s="36">
        <f t="shared" si="39"/>
        <v>0</v>
      </c>
      <c r="K102" s="36">
        <f t="shared" si="39"/>
        <v>0</v>
      </c>
      <c r="L102" s="36">
        <f t="shared" si="39"/>
        <v>0</v>
      </c>
      <c r="M102" s="36">
        <f t="shared" si="39"/>
        <v>0</v>
      </c>
      <c r="N102" s="36">
        <f t="shared" si="39"/>
        <v>0</v>
      </c>
      <c r="O102" s="36">
        <f t="shared" si="39"/>
        <v>0</v>
      </c>
      <c r="P102" s="36">
        <f t="shared" si="39"/>
        <v>0</v>
      </c>
      <c r="Q102" s="36">
        <f t="shared" si="39"/>
        <v>0</v>
      </c>
      <c r="R102" s="36">
        <f t="shared" si="39"/>
        <v>0</v>
      </c>
    </row>
    <row r="103" spans="2:18" x14ac:dyDescent="0.25">
      <c r="B103" s="56" t="str">
        <f>C102&amp;C103</f>
        <v/>
      </c>
      <c r="C103" s="18" t="str">
        <f>IF(C102="","","EGR")</f>
        <v/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17">
        <v>0</v>
      </c>
      <c r="P103" s="17">
        <v>0</v>
      </c>
      <c r="Q103" s="17">
        <v>0</v>
      </c>
      <c r="R103" s="17">
        <v>0</v>
      </c>
    </row>
    <row r="104" spans="2:18" x14ac:dyDescent="0.25">
      <c r="B104" s="56" t="str">
        <f>C102&amp;C104</f>
        <v/>
      </c>
      <c r="C104" s="18" t="str">
        <f>IF(C102="","","NOI")</f>
        <v/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17">
        <v>0</v>
      </c>
      <c r="P104" s="17">
        <v>0</v>
      </c>
      <c r="Q104" s="17">
        <v>0</v>
      </c>
      <c r="R104" s="17">
        <v>0</v>
      </c>
    </row>
    <row r="105" spans="2:18" x14ac:dyDescent="0.25">
      <c r="B105" s="56" t="str">
        <f>C102&amp;C105</f>
        <v/>
      </c>
      <c r="C105" s="18" t="str">
        <f>IF(C102="","","CFO")</f>
        <v/>
      </c>
      <c r="D105" s="35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17">
        <v>0</v>
      </c>
      <c r="P105" s="17">
        <v>0</v>
      </c>
      <c r="Q105" s="17">
        <v>0</v>
      </c>
      <c r="R105" s="17">
        <v>0</v>
      </c>
    </row>
    <row r="106" spans="2:18" collapsed="1" x14ac:dyDescent="0.25">
      <c r="B106" s="11" t="str">
        <f>IF(OR(B102=Number_Properties,B102=""),"",B102+1)</f>
        <v/>
      </c>
      <c r="C106" s="11" t="str">
        <f>IF(B106="","",VLOOKUP(B106,P_List_Table,2,FALSE))</f>
        <v/>
      </c>
      <c r="D106" s="36">
        <f>D108</f>
        <v>0</v>
      </c>
      <c r="E106" s="36">
        <f t="shared" ref="E106:R106" si="40">E108</f>
        <v>0</v>
      </c>
      <c r="F106" s="36">
        <f t="shared" si="40"/>
        <v>0</v>
      </c>
      <c r="G106" s="36">
        <f t="shared" si="40"/>
        <v>0</v>
      </c>
      <c r="H106" s="36">
        <f t="shared" si="40"/>
        <v>0</v>
      </c>
      <c r="I106" s="36">
        <f t="shared" si="40"/>
        <v>0</v>
      </c>
      <c r="J106" s="36">
        <f t="shared" si="40"/>
        <v>0</v>
      </c>
      <c r="K106" s="36">
        <f t="shared" si="40"/>
        <v>0</v>
      </c>
      <c r="L106" s="36">
        <f t="shared" si="40"/>
        <v>0</v>
      </c>
      <c r="M106" s="36">
        <f t="shared" si="40"/>
        <v>0</v>
      </c>
      <c r="N106" s="36">
        <f t="shared" si="40"/>
        <v>0</v>
      </c>
      <c r="O106" s="36">
        <f t="shared" si="40"/>
        <v>0</v>
      </c>
      <c r="P106" s="36">
        <f t="shared" si="40"/>
        <v>0</v>
      </c>
      <c r="Q106" s="36">
        <f t="shared" si="40"/>
        <v>0</v>
      </c>
      <c r="R106" s="36">
        <f t="shared" si="40"/>
        <v>0</v>
      </c>
    </row>
    <row r="107" spans="2:18" x14ac:dyDescent="0.25">
      <c r="B107" s="56" t="str">
        <f>C106&amp;C107</f>
        <v/>
      </c>
      <c r="C107" s="18" t="str">
        <f>IF(C106="","","EGR")</f>
        <v/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17">
        <v>0</v>
      </c>
      <c r="P107" s="17">
        <v>0</v>
      </c>
      <c r="Q107" s="17">
        <v>0</v>
      </c>
      <c r="R107" s="17">
        <v>0</v>
      </c>
    </row>
    <row r="108" spans="2:18" x14ac:dyDescent="0.25">
      <c r="B108" s="56" t="str">
        <f>C106&amp;C108</f>
        <v/>
      </c>
      <c r="C108" s="18" t="str">
        <f>IF(C106="","","NOI")</f>
        <v/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17">
        <v>0</v>
      </c>
      <c r="P108" s="17">
        <v>0</v>
      </c>
      <c r="Q108" s="17">
        <v>0</v>
      </c>
      <c r="R108" s="17">
        <v>0</v>
      </c>
    </row>
    <row r="109" spans="2:18" x14ac:dyDescent="0.25">
      <c r="B109" s="56" t="str">
        <f>C106&amp;C109</f>
        <v/>
      </c>
      <c r="C109" s="18" t="str">
        <f>IF(C106="","","CFO")</f>
        <v/>
      </c>
      <c r="D109" s="35">
        <v>0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17">
        <v>0</v>
      </c>
      <c r="P109" s="17">
        <v>0</v>
      </c>
      <c r="Q109" s="17">
        <v>0</v>
      </c>
      <c r="R109" s="17">
        <v>0</v>
      </c>
    </row>
    <row r="110" spans="2:18" collapsed="1" x14ac:dyDescent="0.25">
      <c r="B110" s="11" t="str">
        <f>IF(OR(B106=Number_Properties,B106=""),"",B106+1)</f>
        <v/>
      </c>
      <c r="C110" s="11" t="str">
        <f>IF(B110="","",VLOOKUP(B110,P_List_Table,2,FALSE))</f>
        <v/>
      </c>
      <c r="D110" s="36">
        <f>D112</f>
        <v>0</v>
      </c>
      <c r="E110" s="36">
        <f t="shared" ref="E110:R110" si="41">E112</f>
        <v>0</v>
      </c>
      <c r="F110" s="36">
        <f t="shared" si="41"/>
        <v>0</v>
      </c>
      <c r="G110" s="36">
        <f t="shared" si="41"/>
        <v>0</v>
      </c>
      <c r="H110" s="36">
        <f t="shared" si="41"/>
        <v>0</v>
      </c>
      <c r="I110" s="36">
        <f t="shared" si="41"/>
        <v>0</v>
      </c>
      <c r="J110" s="36">
        <f t="shared" si="41"/>
        <v>0</v>
      </c>
      <c r="K110" s="36">
        <f t="shared" si="41"/>
        <v>0</v>
      </c>
      <c r="L110" s="36">
        <f t="shared" si="41"/>
        <v>0</v>
      </c>
      <c r="M110" s="36">
        <f t="shared" si="41"/>
        <v>0</v>
      </c>
      <c r="N110" s="36">
        <f t="shared" si="41"/>
        <v>0</v>
      </c>
      <c r="O110" s="36">
        <f t="shared" si="41"/>
        <v>0</v>
      </c>
      <c r="P110" s="36">
        <f t="shared" si="41"/>
        <v>0</v>
      </c>
      <c r="Q110" s="36">
        <f t="shared" si="41"/>
        <v>0</v>
      </c>
      <c r="R110" s="36">
        <f t="shared" si="41"/>
        <v>0</v>
      </c>
    </row>
    <row r="111" spans="2:18" x14ac:dyDescent="0.25">
      <c r="B111" s="56" t="str">
        <f>C110&amp;C111</f>
        <v/>
      </c>
      <c r="C111" s="18" t="str">
        <f>IF(C110="","","EGR")</f>
        <v/>
      </c>
      <c r="D111" s="35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17">
        <v>0</v>
      </c>
      <c r="P111" s="17">
        <v>0</v>
      </c>
      <c r="Q111" s="17">
        <v>0</v>
      </c>
      <c r="R111" s="17">
        <v>0</v>
      </c>
    </row>
    <row r="112" spans="2:18" x14ac:dyDescent="0.25">
      <c r="B112" s="56" t="str">
        <f>C110&amp;C112</f>
        <v/>
      </c>
      <c r="C112" s="18" t="str">
        <f>IF(C110="","","NOI")</f>
        <v/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17">
        <v>0</v>
      </c>
      <c r="P112" s="17">
        <v>0</v>
      </c>
      <c r="Q112" s="17">
        <v>0</v>
      </c>
      <c r="R112" s="17">
        <v>0</v>
      </c>
    </row>
    <row r="113" spans="2:18" x14ac:dyDescent="0.25">
      <c r="B113" s="56" t="str">
        <f>C110&amp;C113</f>
        <v/>
      </c>
      <c r="C113" s="18" t="str">
        <f>IF(C110="","","CFO")</f>
        <v/>
      </c>
      <c r="D113" s="35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17">
        <v>0</v>
      </c>
      <c r="P113" s="17">
        <v>0</v>
      </c>
      <c r="Q113" s="17">
        <v>0</v>
      </c>
      <c r="R113" s="17">
        <v>0</v>
      </c>
    </row>
    <row r="114" spans="2:18" collapsed="1" x14ac:dyDescent="0.25">
      <c r="B114" s="11" t="str">
        <f>IF(OR(B110=Number_Properties,B110=""),"",B110+1)</f>
        <v/>
      </c>
      <c r="C114" s="11" t="str">
        <f>IF(B114="","",VLOOKUP(B114,P_List_Table,2,FALSE))</f>
        <v/>
      </c>
      <c r="D114" s="36">
        <f>D116</f>
        <v>0</v>
      </c>
      <c r="E114" s="36">
        <f t="shared" ref="E114:R114" si="42">E116</f>
        <v>0</v>
      </c>
      <c r="F114" s="36">
        <f t="shared" si="42"/>
        <v>0</v>
      </c>
      <c r="G114" s="36">
        <f t="shared" si="42"/>
        <v>0</v>
      </c>
      <c r="H114" s="36">
        <f t="shared" si="42"/>
        <v>0</v>
      </c>
      <c r="I114" s="36">
        <f t="shared" si="42"/>
        <v>0</v>
      </c>
      <c r="J114" s="36">
        <f t="shared" si="42"/>
        <v>0</v>
      </c>
      <c r="K114" s="36">
        <f t="shared" si="42"/>
        <v>0</v>
      </c>
      <c r="L114" s="36">
        <f t="shared" si="42"/>
        <v>0</v>
      </c>
      <c r="M114" s="36">
        <f t="shared" si="42"/>
        <v>0</v>
      </c>
      <c r="N114" s="36">
        <f t="shared" si="42"/>
        <v>0</v>
      </c>
      <c r="O114" s="36">
        <f t="shared" si="42"/>
        <v>0</v>
      </c>
      <c r="P114" s="36">
        <f t="shared" si="42"/>
        <v>0</v>
      </c>
      <c r="Q114" s="36">
        <f t="shared" si="42"/>
        <v>0</v>
      </c>
      <c r="R114" s="36">
        <f t="shared" si="42"/>
        <v>0</v>
      </c>
    </row>
    <row r="115" spans="2:18" x14ac:dyDescent="0.25">
      <c r="B115" s="56" t="str">
        <f>C114&amp;C115</f>
        <v/>
      </c>
      <c r="C115" s="18" t="str">
        <f>IF(C114="","","EGR")</f>
        <v/>
      </c>
      <c r="D115" s="35">
        <v>0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17">
        <v>0</v>
      </c>
      <c r="P115" s="17">
        <v>0</v>
      </c>
      <c r="Q115" s="17">
        <v>0</v>
      </c>
      <c r="R115" s="17">
        <v>0</v>
      </c>
    </row>
    <row r="116" spans="2:18" x14ac:dyDescent="0.25">
      <c r="B116" s="56" t="str">
        <f>C114&amp;C116</f>
        <v/>
      </c>
      <c r="C116" s="18" t="str">
        <f>IF(C114="","","NOI")</f>
        <v/>
      </c>
      <c r="D116" s="35">
        <v>0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17">
        <v>0</v>
      </c>
      <c r="P116" s="17">
        <v>0</v>
      </c>
      <c r="Q116" s="17">
        <v>0</v>
      </c>
      <c r="R116" s="17">
        <v>0</v>
      </c>
    </row>
    <row r="117" spans="2:18" x14ac:dyDescent="0.25">
      <c r="B117" s="56" t="str">
        <f>C114&amp;C117</f>
        <v/>
      </c>
      <c r="C117" s="18" t="str">
        <f>IF(C114="","","CFO")</f>
        <v/>
      </c>
      <c r="D117" s="35">
        <v>0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17">
        <v>0</v>
      </c>
      <c r="P117" s="17">
        <v>0</v>
      </c>
      <c r="Q117" s="17">
        <v>0</v>
      </c>
      <c r="R117" s="17">
        <v>0</v>
      </c>
    </row>
    <row r="118" spans="2:18" collapsed="1" x14ac:dyDescent="0.25">
      <c r="B118" s="11" t="str">
        <f>IF(OR(B114=Number_Properties,B114=""),"",B114+1)</f>
        <v/>
      </c>
      <c r="C118" s="11" t="str">
        <f>IF(B118="","",VLOOKUP(B118,P_List_Table,2,FALSE))</f>
        <v/>
      </c>
      <c r="D118" s="36">
        <f>D120</f>
        <v>0</v>
      </c>
      <c r="E118" s="36">
        <f t="shared" ref="E118:R118" si="43">E120</f>
        <v>0</v>
      </c>
      <c r="F118" s="36">
        <f t="shared" si="43"/>
        <v>0</v>
      </c>
      <c r="G118" s="36">
        <f t="shared" si="43"/>
        <v>0</v>
      </c>
      <c r="H118" s="36">
        <f t="shared" si="43"/>
        <v>0</v>
      </c>
      <c r="I118" s="36">
        <f t="shared" si="43"/>
        <v>0</v>
      </c>
      <c r="J118" s="36">
        <f t="shared" si="43"/>
        <v>0</v>
      </c>
      <c r="K118" s="36">
        <f t="shared" si="43"/>
        <v>0</v>
      </c>
      <c r="L118" s="36">
        <f t="shared" si="43"/>
        <v>0</v>
      </c>
      <c r="M118" s="36">
        <f t="shared" si="43"/>
        <v>0</v>
      </c>
      <c r="N118" s="36">
        <f t="shared" si="43"/>
        <v>0</v>
      </c>
      <c r="O118" s="36">
        <f t="shared" si="43"/>
        <v>0</v>
      </c>
      <c r="P118" s="36">
        <f t="shared" si="43"/>
        <v>0</v>
      </c>
      <c r="Q118" s="36">
        <f t="shared" si="43"/>
        <v>0</v>
      </c>
      <c r="R118" s="36">
        <f t="shared" si="43"/>
        <v>0</v>
      </c>
    </row>
    <row r="119" spans="2:18" x14ac:dyDescent="0.25">
      <c r="B119" s="56" t="str">
        <f>C118&amp;C119</f>
        <v/>
      </c>
      <c r="C119" s="18" t="str">
        <f>IF(C118="","","EGR")</f>
        <v/>
      </c>
      <c r="D119" s="35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17">
        <v>0</v>
      </c>
      <c r="P119" s="17">
        <v>0</v>
      </c>
      <c r="Q119" s="17">
        <v>0</v>
      </c>
      <c r="R119" s="17">
        <v>0</v>
      </c>
    </row>
    <row r="120" spans="2:18" x14ac:dyDescent="0.25">
      <c r="B120" s="56" t="str">
        <f>C118&amp;C120</f>
        <v/>
      </c>
      <c r="C120" s="18" t="str">
        <f>IF(C118="","","NOI")</f>
        <v/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17">
        <v>0</v>
      </c>
      <c r="P120" s="17">
        <v>0</v>
      </c>
      <c r="Q120" s="17">
        <v>0</v>
      </c>
      <c r="R120" s="17">
        <v>0</v>
      </c>
    </row>
    <row r="121" spans="2:18" x14ac:dyDescent="0.25">
      <c r="B121" s="56" t="str">
        <f>C118&amp;C121</f>
        <v/>
      </c>
      <c r="C121" s="18" t="str">
        <f>IF(C118="","","CFO")</f>
        <v/>
      </c>
      <c r="D121" s="35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17">
        <v>0</v>
      </c>
      <c r="P121" s="17">
        <v>0</v>
      </c>
      <c r="Q121" s="17">
        <v>0</v>
      </c>
      <c r="R121" s="17">
        <v>0</v>
      </c>
    </row>
    <row r="122" spans="2:18" collapsed="1" x14ac:dyDescent="0.25">
      <c r="B122" s="11" t="str">
        <f>IF(OR(B118=Number_Properties,B118=""),"",B118+1)</f>
        <v/>
      </c>
      <c r="C122" s="11" t="str">
        <f>IF(B122="","",VLOOKUP(B122,P_List_Table,2,FALSE))</f>
        <v/>
      </c>
      <c r="D122" s="36">
        <f>D124</f>
        <v>0</v>
      </c>
      <c r="E122" s="36">
        <f t="shared" ref="E122:R122" si="44">E124</f>
        <v>0</v>
      </c>
      <c r="F122" s="36">
        <f t="shared" si="44"/>
        <v>0</v>
      </c>
      <c r="G122" s="36">
        <f t="shared" si="44"/>
        <v>0</v>
      </c>
      <c r="H122" s="36">
        <f t="shared" si="44"/>
        <v>0</v>
      </c>
      <c r="I122" s="36">
        <f t="shared" si="44"/>
        <v>0</v>
      </c>
      <c r="J122" s="36">
        <f t="shared" si="44"/>
        <v>0</v>
      </c>
      <c r="K122" s="36">
        <f t="shared" si="44"/>
        <v>0</v>
      </c>
      <c r="L122" s="36">
        <f t="shared" si="44"/>
        <v>0</v>
      </c>
      <c r="M122" s="36">
        <f t="shared" si="44"/>
        <v>0</v>
      </c>
      <c r="N122" s="36">
        <f t="shared" si="44"/>
        <v>0</v>
      </c>
      <c r="O122" s="36">
        <f t="shared" si="44"/>
        <v>0</v>
      </c>
      <c r="P122" s="36">
        <f t="shared" si="44"/>
        <v>0</v>
      </c>
      <c r="Q122" s="36">
        <f t="shared" si="44"/>
        <v>0</v>
      </c>
      <c r="R122" s="36">
        <f t="shared" si="44"/>
        <v>0</v>
      </c>
    </row>
    <row r="123" spans="2:18" x14ac:dyDescent="0.25">
      <c r="B123" s="56" t="str">
        <f>C122&amp;C123</f>
        <v/>
      </c>
      <c r="C123" s="18" t="str">
        <f>IF(C122="","","EGR")</f>
        <v/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17">
        <v>0</v>
      </c>
      <c r="P123" s="17">
        <v>0</v>
      </c>
      <c r="Q123" s="17">
        <v>0</v>
      </c>
      <c r="R123" s="17">
        <v>0</v>
      </c>
    </row>
    <row r="124" spans="2:18" x14ac:dyDescent="0.25">
      <c r="B124" s="56" t="str">
        <f>C122&amp;C124</f>
        <v/>
      </c>
      <c r="C124" s="18" t="str">
        <f>IF(C122="","","NOI")</f>
        <v/>
      </c>
      <c r="D124" s="35">
        <v>0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17">
        <v>0</v>
      </c>
      <c r="P124" s="17">
        <v>0</v>
      </c>
      <c r="Q124" s="17">
        <v>0</v>
      </c>
      <c r="R124" s="17">
        <v>0</v>
      </c>
    </row>
    <row r="125" spans="2:18" x14ac:dyDescent="0.25">
      <c r="B125" s="56" t="str">
        <f>C122&amp;C125</f>
        <v/>
      </c>
      <c r="C125" s="18" t="str">
        <f>IF(C122="","","CFO")</f>
        <v/>
      </c>
      <c r="D125" s="35">
        <v>0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17">
        <v>0</v>
      </c>
      <c r="P125" s="17">
        <v>0</v>
      </c>
      <c r="Q125" s="17">
        <v>0</v>
      </c>
      <c r="R125" s="17">
        <v>0</v>
      </c>
    </row>
    <row r="126" spans="2:18" collapsed="1" x14ac:dyDescent="0.25">
      <c r="B126" s="11" t="str">
        <f>IF(OR(B122=Number_Properties,B122=""),"",B122+1)</f>
        <v/>
      </c>
      <c r="C126" s="11" t="str">
        <f>IF(B126="","",VLOOKUP(B126,P_List_Table,2,FALSE))</f>
        <v/>
      </c>
      <c r="D126" s="36">
        <f>D128</f>
        <v>0</v>
      </c>
      <c r="E126" s="36">
        <f t="shared" ref="E126:R126" si="45">E128</f>
        <v>0</v>
      </c>
      <c r="F126" s="36">
        <f t="shared" si="45"/>
        <v>0</v>
      </c>
      <c r="G126" s="36">
        <f t="shared" si="45"/>
        <v>0</v>
      </c>
      <c r="H126" s="36">
        <f t="shared" si="45"/>
        <v>0</v>
      </c>
      <c r="I126" s="36">
        <f t="shared" si="45"/>
        <v>0</v>
      </c>
      <c r="J126" s="36">
        <f t="shared" si="45"/>
        <v>0</v>
      </c>
      <c r="K126" s="36">
        <f t="shared" si="45"/>
        <v>0</v>
      </c>
      <c r="L126" s="36">
        <f t="shared" si="45"/>
        <v>0</v>
      </c>
      <c r="M126" s="36">
        <f t="shared" si="45"/>
        <v>0</v>
      </c>
      <c r="N126" s="36">
        <f t="shared" si="45"/>
        <v>0</v>
      </c>
      <c r="O126" s="36">
        <f t="shared" si="45"/>
        <v>0</v>
      </c>
      <c r="P126" s="36">
        <f t="shared" si="45"/>
        <v>0</v>
      </c>
      <c r="Q126" s="36">
        <f t="shared" si="45"/>
        <v>0</v>
      </c>
      <c r="R126" s="36">
        <f t="shared" si="45"/>
        <v>0</v>
      </c>
    </row>
    <row r="127" spans="2:18" x14ac:dyDescent="0.25">
      <c r="B127" s="56" t="str">
        <f>C126&amp;C127</f>
        <v/>
      </c>
      <c r="C127" s="18" t="str">
        <f>IF(C126="","","EGR")</f>
        <v/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17">
        <v>0</v>
      </c>
      <c r="P127" s="17">
        <v>0</v>
      </c>
      <c r="Q127" s="17">
        <v>0</v>
      </c>
      <c r="R127" s="17">
        <v>0</v>
      </c>
    </row>
    <row r="128" spans="2:18" x14ac:dyDescent="0.25">
      <c r="B128" s="56" t="str">
        <f>C126&amp;C128</f>
        <v/>
      </c>
      <c r="C128" s="18" t="str">
        <f>IF(C126="","","NOI")</f>
        <v/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17">
        <v>0</v>
      </c>
      <c r="P128" s="17">
        <v>0</v>
      </c>
      <c r="Q128" s="17">
        <v>0</v>
      </c>
      <c r="R128" s="17">
        <v>0</v>
      </c>
    </row>
    <row r="129" spans="2:18" x14ac:dyDescent="0.25">
      <c r="B129" s="56" t="str">
        <f>C126&amp;C129</f>
        <v/>
      </c>
      <c r="C129" s="18" t="str">
        <f>IF(C126="","","CFO")</f>
        <v/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17">
        <v>0</v>
      </c>
      <c r="P129" s="17">
        <v>0</v>
      </c>
      <c r="Q129" s="17">
        <v>0</v>
      </c>
      <c r="R129" s="17">
        <v>0</v>
      </c>
    </row>
  </sheetData>
  <conditionalFormatting sqref="B4:R4">
    <cfRule type="expression" dxfId="46" priority="15">
      <formula>B4&lt;&gt;""</formula>
    </cfRule>
  </conditionalFormatting>
  <conditionalFormatting sqref="B2:R2 B4:R4 B3:E3">
    <cfRule type="expression" dxfId="45" priority="9">
      <formula>B$4&lt;&gt;""</formula>
    </cfRule>
  </conditionalFormatting>
  <conditionalFormatting sqref="B4:R129">
    <cfRule type="expression" dxfId="44" priority="6">
      <formula>B$4=""</formula>
    </cfRule>
    <cfRule type="expression" dxfId="43" priority="8">
      <formula>$C4&lt;&gt;""</formula>
    </cfRule>
  </conditionalFormatting>
  <conditionalFormatting sqref="D10:R129">
    <cfRule type="expression" dxfId="42" priority="7">
      <formula>$C10=""</formula>
    </cfRule>
  </conditionalFormatting>
  <conditionalFormatting sqref="D19:S21 D23:S25 D27:S29 D31:S33 D35:S37 D39:S41 D43:S45 D47:S49 D51:S53 D55:S57 D59:S61 D63:S65 D67:S69 D71:S73 D75:S77 D79:S81 D83:S85 D87:S89 D91:S93 D95:S97 D99:S101 D103:S105 D107:S109 D111:S113 D115:S117 D119:S121 D123:S125 D127:S129 D11:S13 D15:S17">
    <cfRule type="expression" dxfId="41" priority="5">
      <formula>$C11&lt;&gt;""</formula>
    </cfRule>
  </conditionalFormatting>
  <conditionalFormatting sqref="D19:S21 D23:S25 D27:S29 D31:S33 D35:S37 D39:S41 D43:S45 D47:S49 D51:S53 D55:S57 D59:S61 D63:S65 D67:S69 D71:S73 D75:S77 D79:S81 D83:S85 D87:S89 D91:S93 D95:S97 D99:S101 D103:S105 D107:S109 D111:S113 D115:S117 D119:S121 D123:S125 D127:S129 D11:S13 D15:S17">
    <cfRule type="expression" dxfId="40" priority="4">
      <formula>D$4=""</formula>
    </cfRule>
  </conditionalFormatting>
  <conditionalFormatting sqref="T3">
    <cfRule type="expression" dxfId="39" priority="3">
      <formula>T$4&lt;&gt;""</formula>
    </cfRule>
  </conditionalFormatting>
  <conditionalFormatting sqref="F3:S3">
    <cfRule type="expression" dxfId="38" priority="1">
      <formula>F$4&lt;&gt;""</formula>
    </cfRule>
  </conditionalFormatting>
  <pageMargins left="0.7" right="0.7" top="0.75" bottom="0.75" header="0.3" footer="0.3"/>
  <pageSetup scale="28" orientation="portrait" horizontalDpi="4294967294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2:AA83"/>
  <sheetViews>
    <sheetView showGridLines="0" zoomScale="85" zoomScaleNormal="85" zoomScaleSheetLayoutView="85" workbookViewId="0"/>
  </sheetViews>
  <sheetFormatPr defaultRowHeight="15" x14ac:dyDescent="0.25"/>
  <cols>
    <col min="1" max="1" width="2.85546875" customWidth="1"/>
    <col min="2" max="2" width="19.85546875" customWidth="1"/>
    <col min="3" max="3" width="6.140625" bestFit="1" customWidth="1"/>
    <col min="4" max="4" width="16.140625" bestFit="1" customWidth="1"/>
    <col min="5" max="5" width="20.42578125" customWidth="1"/>
    <col min="6" max="6" width="16.42578125" style="1" bestFit="1" customWidth="1"/>
    <col min="7" max="7" width="10.28515625" style="1" bestFit="1" customWidth="1"/>
    <col min="8" max="15" width="12.7109375" style="1" bestFit="1" customWidth="1"/>
    <col min="16" max="16" width="13.85546875" style="1" bestFit="1" customWidth="1"/>
    <col min="17" max="17" width="10.85546875" bestFit="1" customWidth="1"/>
    <col min="18" max="22" width="8.42578125" bestFit="1" customWidth="1"/>
  </cols>
  <sheetData>
    <row r="2" spans="2:22" ht="15.75" x14ac:dyDescent="0.25">
      <c r="B2" s="164" t="s">
        <v>108</v>
      </c>
      <c r="C2" s="148"/>
      <c r="D2" s="148"/>
      <c r="E2" s="148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</row>
    <row r="4" spans="2:22" ht="15.75" x14ac:dyDescent="0.25">
      <c r="B4" s="159" t="s">
        <v>109</v>
      </c>
      <c r="C4" s="160" t="s">
        <v>126</v>
      </c>
      <c r="D4" s="160" t="s">
        <v>127</v>
      </c>
      <c r="F4" s="123"/>
    </row>
    <row r="5" spans="2:22" x14ac:dyDescent="0.25">
      <c r="B5" s="6" t="s">
        <v>111</v>
      </c>
      <c r="C5" s="161">
        <v>2.5000000000000001E-2</v>
      </c>
      <c r="D5" s="162">
        <f>C5*Equity</f>
        <v>1269500</v>
      </c>
      <c r="F5" s="81"/>
      <c r="G5" s="124"/>
    </row>
    <row r="6" spans="2:22" x14ac:dyDescent="0.25">
      <c r="B6" s="6" t="s">
        <v>110</v>
      </c>
      <c r="C6" s="163">
        <f>1-C5</f>
        <v>0.97499999999999998</v>
      </c>
      <c r="D6" s="162">
        <f>C6*Equity</f>
        <v>49510500</v>
      </c>
      <c r="F6" s="81"/>
      <c r="G6" s="124"/>
    </row>
    <row r="8" spans="2:22" ht="15.75" x14ac:dyDescent="0.25">
      <c r="B8" s="159" t="s">
        <v>117</v>
      </c>
      <c r="C8" s="115"/>
      <c r="D8" s="115"/>
      <c r="E8" s="115"/>
      <c r="F8" s="160" t="s">
        <v>123</v>
      </c>
      <c r="G8" s="160" t="s">
        <v>122</v>
      </c>
      <c r="H8" s="160" t="s">
        <v>124</v>
      </c>
      <c r="I8" s="160" t="s">
        <v>125</v>
      </c>
    </row>
    <row r="9" spans="2:22" x14ac:dyDescent="0.25">
      <c r="B9" s="6" t="s">
        <v>133</v>
      </c>
      <c r="C9" s="6"/>
      <c r="D9" s="6"/>
      <c r="E9" s="153">
        <f>D10</f>
        <v>0.08</v>
      </c>
      <c r="F9" s="154">
        <v>0</v>
      </c>
      <c r="G9" s="155">
        <f>1-F9</f>
        <v>1</v>
      </c>
      <c r="H9" s="156">
        <f>1-I9</f>
        <v>2.5000000000000022E-2</v>
      </c>
      <c r="I9" s="156">
        <f>G9*$C$6</f>
        <v>0.97499999999999998</v>
      </c>
    </row>
    <row r="10" spans="2:22" x14ac:dyDescent="0.25">
      <c r="B10" s="6" t="s">
        <v>119</v>
      </c>
      <c r="C10" s="6"/>
      <c r="D10" s="157">
        <v>0.08</v>
      </c>
      <c r="E10" s="158">
        <f>D11</f>
        <v>0.1</v>
      </c>
      <c r="F10" s="154">
        <v>0.1</v>
      </c>
      <c r="G10" s="155">
        <f t="shared" ref="G10:G12" si="0">1-F10</f>
        <v>0.9</v>
      </c>
      <c r="H10" s="156">
        <f t="shared" ref="H10:H12" si="1">1-I10</f>
        <v>0.12250000000000005</v>
      </c>
      <c r="I10" s="156">
        <f>G10*$C$6</f>
        <v>0.87749999999999995</v>
      </c>
    </row>
    <row r="11" spans="2:22" x14ac:dyDescent="0.25">
      <c r="B11" s="6" t="s">
        <v>120</v>
      </c>
      <c r="C11" s="6"/>
      <c r="D11" s="157">
        <v>0.1</v>
      </c>
      <c r="E11" s="158">
        <f>D12</f>
        <v>0.12</v>
      </c>
      <c r="F11" s="154">
        <v>0.2</v>
      </c>
      <c r="G11" s="155">
        <f t="shared" si="0"/>
        <v>0.8</v>
      </c>
      <c r="H11" s="156">
        <f t="shared" si="1"/>
        <v>0.21999999999999997</v>
      </c>
      <c r="I11" s="156">
        <f>G11*$C$6</f>
        <v>0.78</v>
      </c>
    </row>
    <row r="12" spans="2:22" x14ac:dyDescent="0.25">
      <c r="B12" s="6" t="s">
        <v>121</v>
      </c>
      <c r="C12" s="6"/>
      <c r="D12" s="157">
        <v>0.12</v>
      </c>
      <c r="E12" s="158"/>
      <c r="F12" s="154">
        <v>0.4</v>
      </c>
      <c r="G12" s="155">
        <f t="shared" si="0"/>
        <v>0.6</v>
      </c>
      <c r="H12" s="156">
        <f t="shared" si="1"/>
        <v>0.41500000000000004</v>
      </c>
      <c r="I12" s="156">
        <f>G12*$C$6</f>
        <v>0.58499999999999996</v>
      </c>
    </row>
    <row r="13" spans="2:22" s="11" customFormat="1" x14ac:dyDescent="0.25">
      <c r="D13" s="167"/>
      <c r="E13" s="168"/>
      <c r="F13" s="169"/>
      <c r="G13" s="170"/>
      <c r="H13" s="171"/>
      <c r="I13" s="171"/>
      <c r="J13" s="12"/>
      <c r="K13" s="12"/>
      <c r="L13" s="12"/>
      <c r="M13" s="12"/>
      <c r="N13" s="12"/>
      <c r="O13" s="12"/>
      <c r="P13" s="12"/>
    </row>
    <row r="14" spans="2:22" s="11" customFormat="1" ht="15.75" x14ac:dyDescent="0.25">
      <c r="B14" s="65" t="s">
        <v>144</v>
      </c>
      <c r="C14" s="6"/>
      <c r="D14" s="157"/>
      <c r="E14" s="158"/>
      <c r="F14" s="66" t="s">
        <v>131</v>
      </c>
      <c r="G14" s="67">
        <v>1</v>
      </c>
      <c r="H14" s="67">
        <f t="shared" ref="H14:V14" si="2">IF(OR(G14="",G14=Analysis_Period),"",G14+1)</f>
        <v>2</v>
      </c>
      <c r="I14" s="67">
        <f t="shared" si="2"/>
        <v>3</v>
      </c>
      <c r="J14" s="67">
        <f t="shared" si="2"/>
        <v>4</v>
      </c>
      <c r="K14" s="67">
        <f t="shared" si="2"/>
        <v>5</v>
      </c>
      <c r="L14" s="67">
        <f t="shared" si="2"/>
        <v>6</v>
      </c>
      <c r="M14" s="67">
        <f t="shared" si="2"/>
        <v>7</v>
      </c>
      <c r="N14" s="67">
        <f t="shared" si="2"/>
        <v>8</v>
      </c>
      <c r="O14" s="67">
        <f t="shared" si="2"/>
        <v>9</v>
      </c>
      <c r="P14" s="67">
        <f t="shared" si="2"/>
        <v>10</v>
      </c>
      <c r="Q14" s="67" t="str">
        <f t="shared" si="2"/>
        <v/>
      </c>
      <c r="R14" s="67" t="str">
        <f t="shared" si="2"/>
        <v/>
      </c>
      <c r="S14" s="67" t="str">
        <f t="shared" si="2"/>
        <v/>
      </c>
      <c r="T14" s="67" t="str">
        <f t="shared" si="2"/>
        <v/>
      </c>
      <c r="U14" s="67" t="str">
        <f t="shared" si="2"/>
        <v/>
      </c>
      <c r="V14" s="67" t="str">
        <f t="shared" si="2"/>
        <v/>
      </c>
    </row>
    <row r="15" spans="2:22" s="11" customFormat="1" x14ac:dyDescent="0.25">
      <c r="B15" s="172" t="s">
        <v>152</v>
      </c>
      <c r="C15" s="6"/>
      <c r="D15" s="157"/>
      <c r="E15" s="158"/>
      <c r="F15" s="154"/>
      <c r="G15" s="155"/>
      <c r="H15" s="156"/>
      <c r="I15" s="156"/>
      <c r="J15" s="66"/>
      <c r="K15" s="66"/>
      <c r="L15" s="66"/>
      <c r="M15" s="66"/>
      <c r="N15" s="66"/>
      <c r="O15" s="66"/>
      <c r="P15" s="66"/>
      <c r="Q15" s="6"/>
      <c r="R15" s="6"/>
      <c r="S15" s="6"/>
      <c r="T15" s="6"/>
      <c r="U15" s="6"/>
    </row>
    <row r="16" spans="2:22" s="11" customFormat="1" x14ac:dyDescent="0.25">
      <c r="B16" s="103" t="s">
        <v>145</v>
      </c>
      <c r="C16" s="6"/>
      <c r="D16" s="174">
        <f>SUM(F16:V16)</f>
        <v>127586918.07854506</v>
      </c>
      <c r="E16" s="158"/>
      <c r="F16" s="175">
        <f>IF(F14="","",F43+F58+F73+F80)</f>
        <v>0</v>
      </c>
      <c r="G16" s="175">
        <f>IF(G14="","",G43+G58+G73+G80)</f>
        <v>3946097.8687533475</v>
      </c>
      <c r="H16" s="175">
        <f t="shared" ref="H16:V16" si="3">IF(H14="","",H43+H58+H73+H80)</f>
        <v>4100866.9312533466</v>
      </c>
      <c r="I16" s="175">
        <f t="shared" si="3"/>
        <v>4259505.2203158457</v>
      </c>
      <c r="J16" s="175">
        <f t="shared" si="3"/>
        <v>3697867.8811597307</v>
      </c>
      <c r="K16" s="175">
        <f t="shared" si="3"/>
        <v>3864537.2336060195</v>
      </c>
      <c r="L16" s="175">
        <f t="shared" si="3"/>
        <v>4035373.3198634638</v>
      </c>
      <c r="M16" s="175">
        <f t="shared" si="3"/>
        <v>4210480.3082773471</v>
      </c>
      <c r="N16" s="175">
        <f t="shared" si="3"/>
        <v>4389964.971401575</v>
      </c>
      <c r="O16" s="175">
        <f t="shared" si="3"/>
        <v>4573936.7511039106</v>
      </c>
      <c r="P16" s="175">
        <f t="shared" si="3"/>
        <v>90508287.592810482</v>
      </c>
      <c r="Q16" s="175" t="str">
        <f t="shared" si="3"/>
        <v/>
      </c>
      <c r="R16" s="175" t="str">
        <f t="shared" si="3"/>
        <v/>
      </c>
      <c r="S16" s="175" t="str">
        <f t="shared" si="3"/>
        <v/>
      </c>
      <c r="T16" s="175" t="str">
        <f t="shared" si="3"/>
        <v/>
      </c>
      <c r="U16" s="175" t="str">
        <f t="shared" si="3"/>
        <v/>
      </c>
      <c r="V16" s="173" t="str">
        <f t="shared" si="3"/>
        <v/>
      </c>
    </row>
    <row r="17" spans="2:27" s="11" customFormat="1" x14ac:dyDescent="0.25">
      <c r="B17" s="103" t="s">
        <v>148</v>
      </c>
      <c r="C17" s="6"/>
      <c r="D17" s="174">
        <f>SUM(F17:V17)</f>
        <v>49510500</v>
      </c>
      <c r="E17" s="158"/>
      <c r="F17" s="175">
        <f>F38</f>
        <v>49510500</v>
      </c>
      <c r="G17" s="175">
        <f t="shared" ref="G17:U17" si="4">G38</f>
        <v>0</v>
      </c>
      <c r="H17" s="175">
        <f t="shared" si="4"/>
        <v>0</v>
      </c>
      <c r="I17" s="175">
        <f t="shared" si="4"/>
        <v>0</v>
      </c>
      <c r="J17" s="175">
        <f t="shared" si="4"/>
        <v>0</v>
      </c>
      <c r="K17" s="175">
        <f t="shared" si="4"/>
        <v>0</v>
      </c>
      <c r="L17" s="175">
        <f t="shared" si="4"/>
        <v>0</v>
      </c>
      <c r="M17" s="175">
        <f t="shared" si="4"/>
        <v>0</v>
      </c>
      <c r="N17" s="175">
        <f t="shared" si="4"/>
        <v>0</v>
      </c>
      <c r="O17" s="175">
        <f t="shared" si="4"/>
        <v>0</v>
      </c>
      <c r="P17" s="175">
        <f t="shared" si="4"/>
        <v>0</v>
      </c>
      <c r="Q17" s="175" t="str">
        <f t="shared" si="4"/>
        <v/>
      </c>
      <c r="R17" s="175" t="str">
        <f t="shared" si="4"/>
        <v/>
      </c>
      <c r="S17" s="175" t="str">
        <f t="shared" si="4"/>
        <v/>
      </c>
      <c r="T17" s="175" t="str">
        <f t="shared" si="4"/>
        <v/>
      </c>
      <c r="U17" s="175" t="str">
        <f t="shared" si="4"/>
        <v/>
      </c>
      <c r="V17" s="173"/>
    </row>
    <row r="18" spans="2:27" s="11" customFormat="1" x14ac:dyDescent="0.25">
      <c r="B18" s="103" t="s">
        <v>149</v>
      </c>
      <c r="C18" s="6"/>
      <c r="D18" s="174">
        <f>D16-D17</f>
        <v>78076418.078545064</v>
      </c>
      <c r="E18" s="158"/>
      <c r="F18" s="154"/>
      <c r="G18" s="155"/>
      <c r="H18" s="156"/>
      <c r="I18" s="156"/>
      <c r="J18" s="66"/>
      <c r="K18" s="66"/>
      <c r="L18" s="66"/>
      <c r="M18" s="66"/>
      <c r="N18" s="66"/>
      <c r="O18" s="66"/>
      <c r="P18" s="66"/>
      <c r="Q18" s="6"/>
      <c r="R18" s="6"/>
      <c r="S18" s="6"/>
      <c r="T18" s="6"/>
      <c r="U18" s="6"/>
    </row>
    <row r="19" spans="2:27" s="11" customFormat="1" x14ac:dyDescent="0.25">
      <c r="B19" s="103" t="s">
        <v>147</v>
      </c>
      <c r="C19" s="6"/>
      <c r="D19" s="176">
        <f>IRR(F19:V19)</f>
        <v>0.1240502170841209</v>
      </c>
      <c r="E19" s="158"/>
      <c r="F19" s="175">
        <f>IF(F14="","",(-F17)+F16)</f>
        <v>-49510500</v>
      </c>
      <c r="G19" s="175">
        <f t="shared" ref="G19:V19" si="5">IF(G14="","",(-G17)+G16)</f>
        <v>3946097.8687533475</v>
      </c>
      <c r="H19" s="175">
        <f t="shared" si="5"/>
        <v>4100866.9312533466</v>
      </c>
      <c r="I19" s="175">
        <f t="shared" si="5"/>
        <v>4259505.2203158457</v>
      </c>
      <c r="J19" s="175">
        <f t="shared" si="5"/>
        <v>3697867.8811597307</v>
      </c>
      <c r="K19" s="175">
        <f t="shared" si="5"/>
        <v>3864537.2336060195</v>
      </c>
      <c r="L19" s="175">
        <f t="shared" si="5"/>
        <v>4035373.3198634638</v>
      </c>
      <c r="M19" s="175">
        <f t="shared" si="5"/>
        <v>4210480.3082773471</v>
      </c>
      <c r="N19" s="175">
        <f t="shared" si="5"/>
        <v>4389964.971401575</v>
      </c>
      <c r="O19" s="175">
        <f t="shared" si="5"/>
        <v>4573936.7511039106</v>
      </c>
      <c r="P19" s="175">
        <f t="shared" si="5"/>
        <v>90508287.592810482</v>
      </c>
      <c r="Q19" s="175" t="str">
        <f t="shared" si="5"/>
        <v/>
      </c>
      <c r="R19" s="175" t="str">
        <f t="shared" si="5"/>
        <v/>
      </c>
      <c r="S19" s="175" t="str">
        <f t="shared" si="5"/>
        <v/>
      </c>
      <c r="T19" s="175" t="str">
        <f t="shared" si="5"/>
        <v/>
      </c>
      <c r="U19" s="175" t="str">
        <f t="shared" si="5"/>
        <v/>
      </c>
      <c r="V19" s="173" t="str">
        <f t="shared" si="5"/>
        <v/>
      </c>
    </row>
    <row r="20" spans="2:27" s="11" customFormat="1" x14ac:dyDescent="0.25">
      <c r="B20" s="103" t="s">
        <v>150</v>
      </c>
      <c r="C20" s="6"/>
      <c r="D20" s="177">
        <f>D16/D17</f>
        <v>2.576966867200797</v>
      </c>
      <c r="E20" s="158"/>
      <c r="F20" s="154"/>
      <c r="G20" s="155"/>
      <c r="H20" s="156"/>
      <c r="I20" s="156"/>
      <c r="J20" s="66"/>
      <c r="K20" s="66"/>
      <c r="L20" s="66"/>
      <c r="M20" s="66"/>
      <c r="N20" s="66"/>
      <c r="O20" s="66"/>
      <c r="P20" s="66"/>
      <c r="Q20" s="6"/>
      <c r="R20" s="6"/>
      <c r="S20" s="6"/>
      <c r="T20" s="6"/>
      <c r="U20" s="6"/>
    </row>
    <row r="21" spans="2:27" s="11" customFormat="1" x14ac:dyDescent="0.25">
      <c r="B21" s="103"/>
      <c r="C21" s="6"/>
      <c r="D21" s="157"/>
      <c r="E21" s="158"/>
      <c r="F21" s="154"/>
      <c r="G21" s="155"/>
      <c r="H21" s="156"/>
      <c r="I21" s="156"/>
      <c r="J21" s="66"/>
      <c r="K21" s="66"/>
      <c r="L21" s="66"/>
      <c r="M21" s="66"/>
      <c r="N21" s="66"/>
      <c r="O21" s="66"/>
      <c r="P21" s="66"/>
      <c r="Q21" s="6"/>
      <c r="R21" s="6"/>
      <c r="S21" s="6"/>
      <c r="T21" s="6"/>
      <c r="U21" s="6"/>
    </row>
    <row r="22" spans="2:27" s="11" customFormat="1" x14ac:dyDescent="0.25">
      <c r="B22" s="172" t="s">
        <v>151</v>
      </c>
      <c r="C22" s="6"/>
      <c r="D22" s="157"/>
      <c r="E22" s="158"/>
      <c r="F22" s="154"/>
      <c r="G22" s="155"/>
      <c r="H22" s="156"/>
      <c r="I22" s="156"/>
      <c r="J22" s="66"/>
      <c r="K22" s="66"/>
      <c r="L22" s="66"/>
      <c r="M22" s="66"/>
      <c r="N22" s="66"/>
      <c r="O22" s="66"/>
      <c r="P22" s="66"/>
      <c r="Q22" s="6"/>
      <c r="R22" s="6"/>
      <c r="S22" s="6"/>
      <c r="T22" s="6"/>
      <c r="U22" s="6"/>
    </row>
    <row r="23" spans="2:27" s="11" customFormat="1" x14ac:dyDescent="0.25">
      <c r="B23" s="103" t="s">
        <v>146</v>
      </c>
      <c r="C23" s="6"/>
      <c r="D23" s="174">
        <f>SUM(F23:V23)</f>
        <v>12803609.00660651</v>
      </c>
      <c r="E23" s="158"/>
      <c r="F23" s="175">
        <f>IF(F14="","",F44+F59+F74+F81)</f>
        <v>0</v>
      </c>
      <c r="G23" s="175">
        <f t="shared" ref="G23:U23" si="6">IF(G14="","",G44+G59+G74+G81)</f>
        <v>101181.99663470122</v>
      </c>
      <c r="H23" s="175">
        <f t="shared" si="6"/>
        <v>105150.43413470121</v>
      </c>
      <c r="I23" s="175">
        <f t="shared" si="6"/>
        <v>109218.08257220118</v>
      </c>
      <c r="J23" s="175">
        <f t="shared" si="6"/>
        <v>94817.125157941875</v>
      </c>
      <c r="K23" s="175">
        <f t="shared" si="6"/>
        <v>99090.69829759025</v>
      </c>
      <c r="L23" s="175">
        <f t="shared" si="6"/>
        <v>103471.11076572986</v>
      </c>
      <c r="M23" s="175">
        <f t="shared" si="6"/>
        <v>107961.03354557301</v>
      </c>
      <c r="N23" s="175">
        <f t="shared" si="6"/>
        <v>112563.20439491219</v>
      </c>
      <c r="O23" s="175">
        <f t="shared" si="6"/>
        <v>117280.4295154849</v>
      </c>
      <c r="P23" s="175">
        <f t="shared" si="6"/>
        <v>11852874.891587675</v>
      </c>
      <c r="Q23" s="175" t="str">
        <f t="shared" si="6"/>
        <v/>
      </c>
      <c r="R23" s="175" t="str">
        <f t="shared" si="6"/>
        <v/>
      </c>
      <c r="S23" s="175" t="str">
        <f t="shared" si="6"/>
        <v/>
      </c>
      <c r="T23" s="175" t="str">
        <f t="shared" si="6"/>
        <v/>
      </c>
      <c r="U23" s="175" t="str">
        <f t="shared" si="6"/>
        <v/>
      </c>
      <c r="V23" s="173"/>
    </row>
    <row r="24" spans="2:27" s="11" customFormat="1" x14ac:dyDescent="0.25">
      <c r="B24" s="103" t="s">
        <v>153</v>
      </c>
      <c r="C24" s="6"/>
      <c r="D24" s="174">
        <f>SUM(F24:V24)</f>
        <v>1269500</v>
      </c>
      <c r="E24" s="158"/>
      <c r="F24" s="175">
        <f>IF(F14="","",-(MIN(F31,0)+F38))</f>
        <v>1269500</v>
      </c>
      <c r="G24" s="175">
        <f t="shared" ref="G24:U24" si="7">IF(G14="","",-(MIN(G31,0)+G38))</f>
        <v>0</v>
      </c>
      <c r="H24" s="175">
        <f t="shared" si="7"/>
        <v>0</v>
      </c>
      <c r="I24" s="175">
        <f t="shared" si="7"/>
        <v>0</v>
      </c>
      <c r="J24" s="175">
        <f t="shared" si="7"/>
        <v>0</v>
      </c>
      <c r="K24" s="175">
        <f t="shared" si="7"/>
        <v>0</v>
      </c>
      <c r="L24" s="175">
        <f t="shared" si="7"/>
        <v>0</v>
      </c>
      <c r="M24" s="175">
        <f t="shared" si="7"/>
        <v>0</v>
      </c>
      <c r="N24" s="175">
        <f t="shared" si="7"/>
        <v>0</v>
      </c>
      <c r="O24" s="175">
        <f t="shared" si="7"/>
        <v>0</v>
      </c>
      <c r="P24" s="175">
        <f t="shared" si="7"/>
        <v>0</v>
      </c>
      <c r="Q24" s="175" t="str">
        <f t="shared" si="7"/>
        <v/>
      </c>
      <c r="R24" s="175" t="str">
        <f t="shared" si="7"/>
        <v/>
      </c>
      <c r="S24" s="175" t="str">
        <f t="shared" si="7"/>
        <v/>
      </c>
      <c r="T24" s="175" t="str">
        <f t="shared" si="7"/>
        <v/>
      </c>
      <c r="U24" s="175" t="str">
        <f t="shared" si="7"/>
        <v/>
      </c>
      <c r="V24" s="173"/>
    </row>
    <row r="25" spans="2:27" s="11" customFormat="1" x14ac:dyDescent="0.25">
      <c r="B25" s="103" t="s">
        <v>154</v>
      </c>
      <c r="C25" s="6"/>
      <c r="D25" s="174">
        <f>D23-D24</f>
        <v>11534109.00660651</v>
      </c>
      <c r="E25" s="158"/>
      <c r="F25" s="154"/>
      <c r="G25" s="155"/>
      <c r="H25" s="156"/>
      <c r="I25" s="156"/>
      <c r="J25" s="66"/>
      <c r="K25" s="66"/>
      <c r="L25" s="66"/>
      <c r="M25" s="66"/>
      <c r="N25" s="66"/>
      <c r="O25" s="66"/>
      <c r="P25" s="66"/>
      <c r="Q25" s="6"/>
      <c r="R25" s="6"/>
      <c r="S25" s="6"/>
      <c r="T25" s="6"/>
      <c r="U25" s="6"/>
    </row>
    <row r="26" spans="2:27" s="11" customFormat="1" x14ac:dyDescent="0.25">
      <c r="B26" s="103" t="s">
        <v>155</v>
      </c>
      <c r="C26" s="6"/>
      <c r="D26" s="176">
        <f>IRR(F26:V26)</f>
        <v>0.28765938488035481</v>
      </c>
      <c r="E26" s="158"/>
      <c r="F26" s="175">
        <f>IF(F14="","",(-F24)+F23)</f>
        <v>-1269500</v>
      </c>
      <c r="G26" s="175">
        <f t="shared" ref="G26:U26" si="8">IF(G14="","",(-G24)+G23)</f>
        <v>101181.99663470122</v>
      </c>
      <c r="H26" s="175">
        <f t="shared" si="8"/>
        <v>105150.43413470121</v>
      </c>
      <c r="I26" s="175">
        <f t="shared" si="8"/>
        <v>109218.08257220118</v>
      </c>
      <c r="J26" s="175">
        <f t="shared" si="8"/>
        <v>94817.125157941875</v>
      </c>
      <c r="K26" s="175">
        <f t="shared" si="8"/>
        <v>99090.69829759025</v>
      </c>
      <c r="L26" s="175">
        <f t="shared" si="8"/>
        <v>103471.11076572986</v>
      </c>
      <c r="M26" s="175">
        <f t="shared" si="8"/>
        <v>107961.03354557301</v>
      </c>
      <c r="N26" s="175">
        <f t="shared" si="8"/>
        <v>112563.20439491219</v>
      </c>
      <c r="O26" s="175">
        <f t="shared" si="8"/>
        <v>117280.4295154849</v>
      </c>
      <c r="P26" s="175">
        <f t="shared" si="8"/>
        <v>11852874.891587675</v>
      </c>
      <c r="Q26" s="175" t="str">
        <f t="shared" si="8"/>
        <v/>
      </c>
      <c r="R26" s="175" t="str">
        <f t="shared" si="8"/>
        <v/>
      </c>
      <c r="S26" s="175" t="str">
        <f t="shared" si="8"/>
        <v/>
      </c>
      <c r="T26" s="175" t="str">
        <f t="shared" si="8"/>
        <v/>
      </c>
      <c r="U26" s="175" t="str">
        <f t="shared" si="8"/>
        <v/>
      </c>
      <c r="V26" s="173" t="str">
        <f t="shared" ref="V26" si="9">IF(V21="","",(-V24)+V23)</f>
        <v/>
      </c>
    </row>
    <row r="27" spans="2:27" s="11" customFormat="1" x14ac:dyDescent="0.25">
      <c r="B27" s="103" t="s">
        <v>156</v>
      </c>
      <c r="C27" s="6"/>
      <c r="D27" s="177">
        <f>D23/D24</f>
        <v>10.085552584959835</v>
      </c>
      <c r="E27" s="158"/>
      <c r="F27" s="154"/>
      <c r="G27" s="155"/>
      <c r="H27" s="156"/>
      <c r="I27" s="156"/>
      <c r="J27" s="66"/>
      <c r="K27" s="66"/>
      <c r="L27" s="66"/>
      <c r="M27" s="66"/>
      <c r="N27" s="66"/>
      <c r="O27" s="66"/>
      <c r="P27" s="66"/>
      <c r="Q27" s="6"/>
      <c r="R27" s="6"/>
      <c r="S27" s="6"/>
      <c r="T27" s="6"/>
      <c r="U27" s="6"/>
    </row>
    <row r="29" spans="2:27" ht="15.75" x14ac:dyDescent="0.25">
      <c r="B29" s="65" t="s">
        <v>143</v>
      </c>
      <c r="C29" s="6"/>
      <c r="D29" s="6"/>
      <c r="E29" s="66"/>
      <c r="F29" s="66" t="s">
        <v>131</v>
      </c>
      <c r="G29" s="67">
        <v>1</v>
      </c>
      <c r="H29" s="67">
        <f t="shared" ref="H29:V29" si="10">IF(OR(G29="",G29=Analysis_Period),"",G29+1)</f>
        <v>2</v>
      </c>
      <c r="I29" s="67">
        <f t="shared" si="10"/>
        <v>3</v>
      </c>
      <c r="J29" s="67">
        <f t="shared" si="10"/>
        <v>4</v>
      </c>
      <c r="K29" s="67">
        <f t="shared" si="10"/>
        <v>5</v>
      </c>
      <c r="L29" s="67">
        <f t="shared" si="10"/>
        <v>6</v>
      </c>
      <c r="M29" s="67">
        <f t="shared" si="10"/>
        <v>7</v>
      </c>
      <c r="N29" s="67">
        <f t="shared" si="10"/>
        <v>8</v>
      </c>
      <c r="O29" s="67">
        <f t="shared" si="10"/>
        <v>9</v>
      </c>
      <c r="P29" s="67">
        <f t="shared" si="10"/>
        <v>10</v>
      </c>
      <c r="Q29" s="67" t="str">
        <f t="shared" si="10"/>
        <v/>
      </c>
      <c r="R29" s="67" t="str">
        <f t="shared" si="10"/>
        <v/>
      </c>
      <c r="S29" s="67" t="str">
        <f t="shared" si="10"/>
        <v/>
      </c>
      <c r="T29" s="67" t="str">
        <f t="shared" si="10"/>
        <v/>
      </c>
      <c r="U29" s="67" t="str">
        <f t="shared" si="10"/>
        <v/>
      </c>
      <c r="V29" s="67" t="str">
        <f t="shared" si="10"/>
        <v/>
      </c>
      <c r="W29" s="38"/>
      <c r="X29" s="38"/>
      <c r="Y29" s="38"/>
      <c r="Z29" s="38"/>
      <c r="AA29" s="38"/>
    </row>
    <row r="30" spans="2:27" x14ac:dyDescent="0.25">
      <c r="B30" s="6"/>
      <c r="C30" s="6"/>
      <c r="D30" s="6"/>
      <c r="E30" s="86" t="s">
        <v>19</v>
      </c>
      <c r="F30" s="127">
        <f>Analysis_Start</f>
        <v>42370</v>
      </c>
      <c r="G30" s="127">
        <f>EOMONTH(Analysis_Start,11)</f>
        <v>42735</v>
      </c>
      <c r="H30" s="127">
        <f t="shared" ref="H30:U30" si="11">IF(H29="","",EOMONTH(Analysis_Start,(11*H29)+G29))</f>
        <v>43100</v>
      </c>
      <c r="I30" s="127">
        <f t="shared" si="11"/>
        <v>43465</v>
      </c>
      <c r="J30" s="127">
        <f t="shared" si="11"/>
        <v>43830</v>
      </c>
      <c r="K30" s="127">
        <f t="shared" si="11"/>
        <v>44196</v>
      </c>
      <c r="L30" s="127">
        <f t="shared" si="11"/>
        <v>44561</v>
      </c>
      <c r="M30" s="127">
        <f t="shared" si="11"/>
        <v>44926</v>
      </c>
      <c r="N30" s="127">
        <f t="shared" si="11"/>
        <v>45291</v>
      </c>
      <c r="O30" s="127">
        <f t="shared" si="11"/>
        <v>45657</v>
      </c>
      <c r="P30" s="127">
        <f t="shared" si="11"/>
        <v>46022</v>
      </c>
      <c r="Q30" s="127" t="str">
        <f t="shared" si="11"/>
        <v/>
      </c>
      <c r="R30" s="165" t="str">
        <f t="shared" si="11"/>
        <v/>
      </c>
      <c r="S30" s="165" t="str">
        <f t="shared" si="11"/>
        <v/>
      </c>
      <c r="T30" s="165" t="str">
        <f t="shared" si="11"/>
        <v/>
      </c>
      <c r="U30" s="165" t="str">
        <f t="shared" si="11"/>
        <v/>
      </c>
      <c r="V30" s="166"/>
      <c r="W30" s="38"/>
      <c r="X30" s="38"/>
      <c r="Y30" s="38"/>
      <c r="Z30" s="38"/>
      <c r="AA30" s="38"/>
    </row>
    <row r="31" spans="2:27" x14ac:dyDescent="0.25">
      <c r="B31" s="6" t="str">
        <f>'Portfolio Level Returns'!B41</f>
        <v>Levered Before Tax Cash Flow</v>
      </c>
      <c r="C31" s="6"/>
      <c r="D31" s="6"/>
      <c r="E31" s="6"/>
      <c r="F31" s="145">
        <f>'Portfolio Level Returns'!D68</f>
        <v>-50780000</v>
      </c>
      <c r="G31" s="145">
        <f>'Portfolio Level Returns'!D41</f>
        <v>4047279.8653880488</v>
      </c>
      <c r="H31" s="145">
        <f>'Portfolio Level Returns'!E41</f>
        <v>4206017.3653880479</v>
      </c>
      <c r="I31" s="145">
        <f>'Portfolio Level Returns'!F41</f>
        <v>4368723.302888047</v>
      </c>
      <c r="J31" s="145">
        <f>'Portfolio Level Returns'!G41</f>
        <v>3792685.0063176723</v>
      </c>
      <c r="K31" s="145">
        <f>'Portfolio Level Returns'!H41</f>
        <v>3963627.93190361</v>
      </c>
      <c r="L31" s="145">
        <f>'Portfolio Level Returns'!I41</f>
        <v>4138844.4306291938</v>
      </c>
      <c r="M31" s="145">
        <f>'Portfolio Level Returns'!J41</f>
        <v>4318441.3418229204</v>
      </c>
      <c r="N31" s="145">
        <f>'Portfolio Level Returns'!K41</f>
        <v>4502528.1757964874</v>
      </c>
      <c r="O31" s="145">
        <f>'Portfolio Level Returns'!L41</f>
        <v>4691217.1806193953</v>
      </c>
      <c r="P31" s="145">
        <f>'Portfolio Level Returns'!M41</f>
        <v>102361162.48439816</v>
      </c>
      <c r="Q31" s="145" t="str">
        <f>'Portfolio Level Returns'!N41</f>
        <v/>
      </c>
      <c r="R31" s="145" t="str">
        <f>'Portfolio Level Returns'!O41</f>
        <v/>
      </c>
      <c r="S31" s="145" t="str">
        <f>'Portfolio Level Returns'!P41</f>
        <v/>
      </c>
      <c r="T31" s="145" t="str">
        <f>'Portfolio Level Returns'!Q41</f>
        <v/>
      </c>
      <c r="U31" s="145" t="str">
        <f>'Portfolio Level Returns'!R41</f>
        <v/>
      </c>
      <c r="V31" s="6"/>
    </row>
    <row r="32" spans="2:27" x14ac:dyDescent="0.25">
      <c r="B32" s="6" t="s">
        <v>73</v>
      </c>
      <c r="C32" s="6"/>
      <c r="D32" s="6"/>
      <c r="E32" s="6"/>
      <c r="F32" s="156">
        <f>IRR(F31:U31)</f>
        <v>0.1324224616089904</v>
      </c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"/>
      <c r="R32" s="6"/>
      <c r="S32" s="6"/>
      <c r="T32" s="6"/>
      <c r="U32" s="6"/>
      <c r="V32" s="6"/>
    </row>
    <row r="34" spans="2:22" ht="15.75" x14ac:dyDescent="0.25">
      <c r="B34" s="65" t="s">
        <v>118</v>
      </c>
      <c r="C34" s="6"/>
      <c r="D34" s="6"/>
      <c r="E34" s="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"/>
      <c r="R34" s="6"/>
      <c r="S34" s="6"/>
      <c r="T34" s="6"/>
      <c r="U34" s="6"/>
    </row>
    <row r="35" spans="2:22" x14ac:dyDescent="0.25">
      <c r="B35" s="150" t="s">
        <v>132</v>
      </c>
      <c r="C35" s="151">
        <f>E9</f>
        <v>0.08</v>
      </c>
      <c r="D35" s="115"/>
      <c r="E35" s="115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15"/>
      <c r="R35" s="115"/>
      <c r="S35" s="115"/>
      <c r="T35" s="115"/>
      <c r="U35" s="115"/>
    </row>
    <row r="36" spans="2:22" x14ac:dyDescent="0.25">
      <c r="B36" s="6" t="s">
        <v>134</v>
      </c>
      <c r="C36" s="6"/>
      <c r="D36" s="6"/>
      <c r="E36" s="6"/>
      <c r="F36" s="145">
        <f t="shared" ref="F36:U36" si="12">IF(F29="","",E40)</f>
        <v>0</v>
      </c>
      <c r="G36" s="145">
        <f t="shared" si="12"/>
        <v>49510500</v>
      </c>
      <c r="H36" s="145">
        <f t="shared" si="12"/>
        <v>49525242.131246656</v>
      </c>
      <c r="I36" s="145">
        <f t="shared" si="12"/>
        <v>49386394.570493042</v>
      </c>
      <c r="J36" s="145">
        <f t="shared" si="12"/>
        <v>49077800.915816642</v>
      </c>
      <c r="K36" s="145">
        <f t="shared" si="12"/>
        <v>49306157.107922241</v>
      </c>
      <c r="L36" s="145">
        <f t="shared" si="12"/>
        <v>49386112.442950003</v>
      </c>
      <c r="M36" s="145">
        <f t="shared" si="12"/>
        <v>49301628.11852254</v>
      </c>
      <c r="N36" s="145">
        <f t="shared" si="12"/>
        <v>49035278.059726998</v>
      </c>
      <c r="O36" s="145">
        <f t="shared" si="12"/>
        <v>48568135.333103582</v>
      </c>
      <c r="P36" s="145">
        <f t="shared" si="12"/>
        <v>47879649.408647962</v>
      </c>
      <c r="Q36" s="145" t="str">
        <f t="shared" si="12"/>
        <v/>
      </c>
      <c r="R36" s="145" t="str">
        <f t="shared" si="12"/>
        <v/>
      </c>
      <c r="S36" s="145" t="str">
        <f t="shared" si="12"/>
        <v/>
      </c>
      <c r="T36" s="145" t="str">
        <f t="shared" si="12"/>
        <v/>
      </c>
      <c r="U36" s="145" t="str">
        <f t="shared" si="12"/>
        <v/>
      </c>
      <c r="V36" s="125"/>
    </row>
    <row r="37" spans="2:22" x14ac:dyDescent="0.25">
      <c r="B37" s="6" t="s">
        <v>135</v>
      </c>
      <c r="C37" s="6"/>
      <c r="D37" s="6"/>
      <c r="E37" s="6"/>
      <c r="F37" s="145">
        <f t="shared" ref="F37:U37" si="13">IF(F36="","",F36*Preferred_Return)</f>
        <v>0</v>
      </c>
      <c r="G37" s="145">
        <f t="shared" si="13"/>
        <v>3960840</v>
      </c>
      <c r="H37" s="145">
        <f t="shared" si="13"/>
        <v>3962019.3704997324</v>
      </c>
      <c r="I37" s="145">
        <f t="shared" si="13"/>
        <v>3950911.5656394437</v>
      </c>
      <c r="J37" s="145">
        <f t="shared" si="13"/>
        <v>3926224.0732653313</v>
      </c>
      <c r="K37" s="145">
        <f t="shared" si="13"/>
        <v>3944492.5686337794</v>
      </c>
      <c r="L37" s="145">
        <f t="shared" si="13"/>
        <v>3950888.9954360002</v>
      </c>
      <c r="M37" s="145">
        <f t="shared" si="13"/>
        <v>3944130.2494818033</v>
      </c>
      <c r="N37" s="145">
        <f t="shared" si="13"/>
        <v>3922822.24477816</v>
      </c>
      <c r="O37" s="145">
        <f t="shared" si="13"/>
        <v>3885450.8266482865</v>
      </c>
      <c r="P37" s="145">
        <f t="shared" si="13"/>
        <v>3830371.9526918372</v>
      </c>
      <c r="Q37" s="145" t="str">
        <f t="shared" si="13"/>
        <v/>
      </c>
      <c r="R37" s="145" t="str">
        <f t="shared" si="13"/>
        <v/>
      </c>
      <c r="S37" s="145" t="str">
        <f t="shared" si="13"/>
        <v/>
      </c>
      <c r="T37" s="145" t="str">
        <f t="shared" si="13"/>
        <v/>
      </c>
      <c r="U37" s="145" t="str">
        <f t="shared" si="13"/>
        <v/>
      </c>
    </row>
    <row r="38" spans="2:22" x14ac:dyDescent="0.25">
      <c r="B38" s="6" t="s">
        <v>137</v>
      </c>
      <c r="C38" s="6"/>
      <c r="D38" s="6"/>
      <c r="E38" s="6"/>
      <c r="F38" s="145">
        <f t="shared" ref="F38:U38" si="14">IF(F36="","",-MIN(0,F31*Equity_Share_LP))</f>
        <v>49510500</v>
      </c>
      <c r="G38" s="145">
        <f t="shared" si="14"/>
        <v>0</v>
      </c>
      <c r="H38" s="145">
        <f t="shared" si="14"/>
        <v>0</v>
      </c>
      <c r="I38" s="145">
        <f t="shared" si="14"/>
        <v>0</v>
      </c>
      <c r="J38" s="145">
        <f t="shared" si="14"/>
        <v>0</v>
      </c>
      <c r="K38" s="145">
        <f t="shared" si="14"/>
        <v>0</v>
      </c>
      <c r="L38" s="145">
        <f t="shared" si="14"/>
        <v>0</v>
      </c>
      <c r="M38" s="145">
        <f t="shared" si="14"/>
        <v>0</v>
      </c>
      <c r="N38" s="145">
        <f t="shared" si="14"/>
        <v>0</v>
      </c>
      <c r="O38" s="145">
        <f t="shared" si="14"/>
        <v>0</v>
      </c>
      <c r="P38" s="145">
        <f t="shared" si="14"/>
        <v>0</v>
      </c>
      <c r="Q38" s="145" t="str">
        <f t="shared" si="14"/>
        <v/>
      </c>
      <c r="R38" s="145" t="str">
        <f t="shared" si="14"/>
        <v/>
      </c>
      <c r="S38" s="145" t="str">
        <f t="shared" si="14"/>
        <v/>
      </c>
      <c r="T38" s="145" t="str">
        <f t="shared" si="14"/>
        <v/>
      </c>
      <c r="U38" s="145" t="str">
        <f t="shared" si="14"/>
        <v/>
      </c>
    </row>
    <row r="39" spans="2:22" x14ac:dyDescent="0.25">
      <c r="B39" s="6" t="s">
        <v>141</v>
      </c>
      <c r="C39" s="6"/>
      <c r="D39" s="6"/>
      <c r="E39" s="6"/>
      <c r="F39" s="145">
        <f>MAX(F31,F37)</f>
        <v>0</v>
      </c>
      <c r="G39" s="145">
        <f t="shared" ref="G39:U39" si="15">IF(G36="","",MIN(G36+G37,MAX(G31,0)*Equity_Share_LP))</f>
        <v>3946097.8687533475</v>
      </c>
      <c r="H39" s="145">
        <f t="shared" si="15"/>
        <v>4100866.9312533466</v>
      </c>
      <c r="I39" s="145">
        <f t="shared" si="15"/>
        <v>4259505.2203158457</v>
      </c>
      <c r="J39" s="145">
        <f t="shared" si="15"/>
        <v>3697867.8811597303</v>
      </c>
      <c r="K39" s="145">
        <f t="shared" si="15"/>
        <v>3864537.2336060195</v>
      </c>
      <c r="L39" s="145">
        <f t="shared" si="15"/>
        <v>4035373.3198634638</v>
      </c>
      <c r="M39" s="145">
        <f t="shared" si="15"/>
        <v>4210480.3082773471</v>
      </c>
      <c r="N39" s="145">
        <f t="shared" si="15"/>
        <v>4389964.971401575</v>
      </c>
      <c r="O39" s="145">
        <f t="shared" si="15"/>
        <v>4573936.7511039106</v>
      </c>
      <c r="P39" s="145">
        <f t="shared" si="15"/>
        <v>51710021.3613398</v>
      </c>
      <c r="Q39" s="145" t="str">
        <f t="shared" si="15"/>
        <v/>
      </c>
      <c r="R39" s="145" t="str">
        <f t="shared" si="15"/>
        <v/>
      </c>
      <c r="S39" s="145" t="str">
        <f t="shared" si="15"/>
        <v/>
      </c>
      <c r="T39" s="145" t="str">
        <f t="shared" si="15"/>
        <v/>
      </c>
      <c r="U39" s="145" t="str">
        <f t="shared" si="15"/>
        <v/>
      </c>
      <c r="V39" s="1"/>
    </row>
    <row r="40" spans="2:22" x14ac:dyDescent="0.25">
      <c r="B40" s="6" t="s">
        <v>136</v>
      </c>
      <c r="C40" s="6"/>
      <c r="D40" s="6"/>
      <c r="E40" s="6"/>
      <c r="F40" s="145">
        <f>F36+F38-F39</f>
        <v>49510500</v>
      </c>
      <c r="G40" s="145">
        <f>IF(G36="","",G36+G37+G38-G39)</f>
        <v>49525242.131246656</v>
      </c>
      <c r="H40" s="145">
        <f t="shared" ref="H40:U40" si="16">IF(H36="","",H36+H37+H38-H39)</f>
        <v>49386394.570493042</v>
      </c>
      <c r="I40" s="145">
        <f t="shared" si="16"/>
        <v>49077800.915816642</v>
      </c>
      <c r="J40" s="145">
        <f t="shared" si="16"/>
        <v>49306157.107922241</v>
      </c>
      <c r="K40" s="145">
        <f t="shared" si="16"/>
        <v>49386112.442950003</v>
      </c>
      <c r="L40" s="145">
        <f t="shared" si="16"/>
        <v>49301628.11852254</v>
      </c>
      <c r="M40" s="145">
        <f t="shared" si="16"/>
        <v>49035278.059726998</v>
      </c>
      <c r="N40" s="145">
        <f t="shared" si="16"/>
        <v>48568135.333103582</v>
      </c>
      <c r="O40" s="145">
        <f t="shared" si="16"/>
        <v>47879649.408647962</v>
      </c>
      <c r="P40" s="145">
        <f t="shared" si="16"/>
        <v>0</v>
      </c>
      <c r="Q40" s="145" t="str">
        <f t="shared" si="16"/>
        <v/>
      </c>
      <c r="R40" s="145" t="str">
        <f t="shared" si="16"/>
        <v/>
      </c>
      <c r="S40" s="145" t="str">
        <f t="shared" si="16"/>
        <v/>
      </c>
      <c r="T40" s="145" t="str">
        <f t="shared" si="16"/>
        <v/>
      </c>
      <c r="U40" s="145" t="str">
        <f t="shared" si="16"/>
        <v/>
      </c>
      <c r="V40" s="125"/>
    </row>
    <row r="41" spans="2:22" x14ac:dyDescent="0.25">
      <c r="B41" s="146">
        <f>C35</f>
        <v>0.08</v>
      </c>
      <c r="C41" s="6"/>
      <c r="D41" s="6"/>
      <c r="E41" s="147">
        <f>IRR(F41:U41)</f>
        <v>8.0000000000000071E-2</v>
      </c>
      <c r="F41" s="145">
        <f>IF(F36="","",-F38+F39)</f>
        <v>-49510500</v>
      </c>
      <c r="G41" s="145">
        <f t="shared" ref="G41:U41" si="17">IF(G36="","",-G38+G39)</f>
        <v>3946097.8687533475</v>
      </c>
      <c r="H41" s="145">
        <f t="shared" si="17"/>
        <v>4100866.9312533466</v>
      </c>
      <c r="I41" s="145">
        <f t="shared" si="17"/>
        <v>4259505.2203158457</v>
      </c>
      <c r="J41" s="145">
        <f t="shared" si="17"/>
        <v>3697867.8811597303</v>
      </c>
      <c r="K41" s="145">
        <f t="shared" si="17"/>
        <v>3864537.2336060195</v>
      </c>
      <c r="L41" s="145">
        <f t="shared" si="17"/>
        <v>4035373.3198634638</v>
      </c>
      <c r="M41" s="145">
        <f t="shared" si="17"/>
        <v>4210480.3082773471</v>
      </c>
      <c r="N41" s="145">
        <f t="shared" si="17"/>
        <v>4389964.971401575</v>
      </c>
      <c r="O41" s="145">
        <f t="shared" si="17"/>
        <v>4573936.7511039106</v>
      </c>
      <c r="P41" s="145">
        <f t="shared" si="17"/>
        <v>51710021.3613398</v>
      </c>
      <c r="Q41" s="145" t="str">
        <f t="shared" si="17"/>
        <v/>
      </c>
      <c r="R41" s="145" t="str">
        <f t="shared" si="17"/>
        <v/>
      </c>
      <c r="S41" s="145" t="str">
        <f t="shared" si="17"/>
        <v/>
      </c>
      <c r="T41" s="145" t="str">
        <f t="shared" si="17"/>
        <v/>
      </c>
      <c r="U41" s="145" t="str">
        <f t="shared" si="17"/>
        <v/>
      </c>
    </row>
    <row r="42" spans="2:22" x14ac:dyDescent="0.25">
      <c r="B42" s="148" t="s">
        <v>27</v>
      </c>
      <c r="C42" s="148" t="s">
        <v>27</v>
      </c>
      <c r="D42" s="148" t="s">
        <v>27</v>
      </c>
      <c r="E42" s="148" t="s">
        <v>27</v>
      </c>
      <c r="F42" s="149" t="str">
        <f>IF(F36="","",".")</f>
        <v>.</v>
      </c>
      <c r="G42" s="149" t="str">
        <f t="shared" ref="G42:U42" si="18">IF(G36="","",".")</f>
        <v>.</v>
      </c>
      <c r="H42" s="149" t="str">
        <f t="shared" si="18"/>
        <v>.</v>
      </c>
      <c r="I42" s="149" t="str">
        <f t="shared" si="18"/>
        <v>.</v>
      </c>
      <c r="J42" s="149" t="str">
        <f t="shared" si="18"/>
        <v>.</v>
      </c>
      <c r="K42" s="149" t="str">
        <f t="shared" si="18"/>
        <v>.</v>
      </c>
      <c r="L42" s="149" t="str">
        <f t="shared" si="18"/>
        <v>.</v>
      </c>
      <c r="M42" s="149" t="str">
        <f t="shared" si="18"/>
        <v>.</v>
      </c>
      <c r="N42" s="149" t="str">
        <f t="shared" si="18"/>
        <v>.</v>
      </c>
      <c r="O42" s="149" t="str">
        <f t="shared" si="18"/>
        <v>.</v>
      </c>
      <c r="P42" s="149" t="str">
        <f t="shared" si="18"/>
        <v>.</v>
      </c>
      <c r="Q42" s="149" t="str">
        <f t="shared" si="18"/>
        <v/>
      </c>
      <c r="R42" s="149" t="str">
        <f t="shared" si="18"/>
        <v/>
      </c>
      <c r="S42" s="149" t="str">
        <f t="shared" si="18"/>
        <v/>
      </c>
      <c r="T42" s="149" t="str">
        <f t="shared" si="18"/>
        <v/>
      </c>
      <c r="U42" s="149" t="str">
        <f t="shared" si="18"/>
        <v/>
      </c>
    </row>
    <row r="43" spans="2:22" x14ac:dyDescent="0.25">
      <c r="B43" s="6" t="s">
        <v>139</v>
      </c>
      <c r="C43" s="6"/>
      <c r="D43" s="6"/>
      <c r="E43" s="6"/>
      <c r="F43" s="145">
        <f>F39</f>
        <v>0</v>
      </c>
      <c r="G43" s="145">
        <f t="shared" ref="G43:U43" si="19">G39</f>
        <v>3946097.8687533475</v>
      </c>
      <c r="H43" s="145">
        <f t="shared" si="19"/>
        <v>4100866.9312533466</v>
      </c>
      <c r="I43" s="145">
        <f t="shared" si="19"/>
        <v>4259505.2203158457</v>
      </c>
      <c r="J43" s="145">
        <f t="shared" si="19"/>
        <v>3697867.8811597303</v>
      </c>
      <c r="K43" s="145">
        <f t="shared" si="19"/>
        <v>3864537.2336060195</v>
      </c>
      <c r="L43" s="145">
        <f t="shared" si="19"/>
        <v>4035373.3198634638</v>
      </c>
      <c r="M43" s="145">
        <f t="shared" si="19"/>
        <v>4210480.3082773471</v>
      </c>
      <c r="N43" s="145">
        <f t="shared" si="19"/>
        <v>4389964.971401575</v>
      </c>
      <c r="O43" s="145">
        <f t="shared" si="19"/>
        <v>4573936.7511039106</v>
      </c>
      <c r="P43" s="145">
        <f t="shared" si="19"/>
        <v>51710021.3613398</v>
      </c>
      <c r="Q43" s="145" t="str">
        <f t="shared" si="19"/>
        <v/>
      </c>
      <c r="R43" s="145" t="str">
        <f t="shared" si="19"/>
        <v/>
      </c>
      <c r="S43" s="145" t="str">
        <f t="shared" si="19"/>
        <v/>
      </c>
      <c r="T43" s="145" t="str">
        <f t="shared" si="19"/>
        <v/>
      </c>
      <c r="U43" s="145" t="str">
        <f t="shared" si="19"/>
        <v/>
      </c>
    </row>
    <row r="44" spans="2:22" x14ac:dyDescent="0.25">
      <c r="B44" s="6" t="s">
        <v>138</v>
      </c>
      <c r="C44" s="6"/>
      <c r="D44" s="6"/>
      <c r="E44" s="6"/>
      <c r="F44" s="145">
        <f t="shared" ref="F44:U44" si="20">IF(F36="","",F43/Equity_Share_LP*Equity_Share_Sponsor)</f>
        <v>0</v>
      </c>
      <c r="G44" s="145">
        <f t="shared" si="20"/>
        <v>101181.99663470122</v>
      </c>
      <c r="H44" s="145">
        <f t="shared" si="20"/>
        <v>105150.43413470121</v>
      </c>
      <c r="I44" s="145">
        <f t="shared" si="20"/>
        <v>109218.08257220118</v>
      </c>
      <c r="J44" s="145">
        <f t="shared" si="20"/>
        <v>94817.125157941817</v>
      </c>
      <c r="K44" s="145">
        <f t="shared" si="20"/>
        <v>99090.69829759025</v>
      </c>
      <c r="L44" s="145">
        <f t="shared" si="20"/>
        <v>103471.11076572986</v>
      </c>
      <c r="M44" s="145">
        <f t="shared" si="20"/>
        <v>107961.03354557301</v>
      </c>
      <c r="N44" s="145">
        <f t="shared" si="20"/>
        <v>112563.20439491219</v>
      </c>
      <c r="O44" s="145">
        <f t="shared" si="20"/>
        <v>117280.4295154849</v>
      </c>
      <c r="P44" s="145">
        <f t="shared" si="20"/>
        <v>1325897.9836240977</v>
      </c>
      <c r="Q44" s="145" t="str">
        <f t="shared" si="20"/>
        <v/>
      </c>
      <c r="R44" s="145" t="str">
        <f t="shared" si="20"/>
        <v/>
      </c>
      <c r="S44" s="145" t="str">
        <f t="shared" si="20"/>
        <v/>
      </c>
      <c r="T44" s="145" t="str">
        <f t="shared" si="20"/>
        <v/>
      </c>
      <c r="U44" s="145" t="str">
        <f t="shared" si="20"/>
        <v/>
      </c>
    </row>
    <row r="45" spans="2:22" x14ac:dyDescent="0.25">
      <c r="B45" s="6" t="str">
        <f>"Total Distributions ("&amp;B34&amp;")"</f>
        <v>Total Distributions (Hurdle 1)</v>
      </c>
      <c r="C45" s="6"/>
      <c r="D45" s="6"/>
      <c r="E45" s="6"/>
      <c r="F45" s="145">
        <f t="shared" ref="F45:U45" si="21">IF(F36="","",SUM(F43:F44))</f>
        <v>0</v>
      </c>
      <c r="G45" s="145">
        <f t="shared" si="21"/>
        <v>4047279.8653880488</v>
      </c>
      <c r="H45" s="145">
        <f t="shared" si="21"/>
        <v>4206017.3653880479</v>
      </c>
      <c r="I45" s="145">
        <f t="shared" si="21"/>
        <v>4368723.302888047</v>
      </c>
      <c r="J45" s="145">
        <f t="shared" si="21"/>
        <v>3792685.0063176719</v>
      </c>
      <c r="K45" s="145">
        <f t="shared" si="21"/>
        <v>3963627.93190361</v>
      </c>
      <c r="L45" s="145">
        <f t="shared" si="21"/>
        <v>4138844.4306291938</v>
      </c>
      <c r="M45" s="145">
        <f t="shared" si="21"/>
        <v>4318441.3418229204</v>
      </c>
      <c r="N45" s="145">
        <f t="shared" si="21"/>
        <v>4502528.1757964874</v>
      </c>
      <c r="O45" s="145">
        <f t="shared" si="21"/>
        <v>4691217.1806193953</v>
      </c>
      <c r="P45" s="145">
        <f t="shared" si="21"/>
        <v>53035919.344963901</v>
      </c>
      <c r="Q45" s="145" t="str">
        <f t="shared" si="21"/>
        <v/>
      </c>
      <c r="R45" s="145" t="str">
        <f t="shared" si="21"/>
        <v/>
      </c>
      <c r="S45" s="145" t="str">
        <f t="shared" si="21"/>
        <v/>
      </c>
      <c r="T45" s="145" t="str">
        <f t="shared" si="21"/>
        <v/>
      </c>
      <c r="U45" s="145" t="str">
        <f t="shared" si="21"/>
        <v/>
      </c>
    </row>
    <row r="46" spans="2:22" x14ac:dyDescent="0.25">
      <c r="B46" s="6" t="s">
        <v>140</v>
      </c>
      <c r="C46" s="6"/>
      <c r="D46" s="6"/>
      <c r="E46" s="6"/>
      <c r="F46" s="145">
        <f t="shared" ref="F46:U46" si="22">IF(F36="","",MAX(F31-F45,0))</f>
        <v>0</v>
      </c>
      <c r="G46" s="145">
        <f t="shared" si="22"/>
        <v>0</v>
      </c>
      <c r="H46" s="145">
        <f t="shared" si="22"/>
        <v>0</v>
      </c>
      <c r="I46" s="145">
        <f t="shared" si="22"/>
        <v>0</v>
      </c>
      <c r="J46" s="145">
        <f t="shared" si="22"/>
        <v>4.6566128730773926E-10</v>
      </c>
      <c r="K46" s="145">
        <f t="shared" si="22"/>
        <v>0</v>
      </c>
      <c r="L46" s="145">
        <f t="shared" si="22"/>
        <v>0</v>
      </c>
      <c r="M46" s="145">
        <f t="shared" si="22"/>
        <v>0</v>
      </c>
      <c r="N46" s="145">
        <f t="shared" si="22"/>
        <v>0</v>
      </c>
      <c r="O46" s="145">
        <f t="shared" si="22"/>
        <v>0</v>
      </c>
      <c r="P46" s="145">
        <f t="shared" si="22"/>
        <v>49325243.139434256</v>
      </c>
      <c r="Q46" s="145" t="str">
        <f t="shared" si="22"/>
        <v/>
      </c>
      <c r="R46" s="145" t="str">
        <f t="shared" si="22"/>
        <v/>
      </c>
      <c r="S46" s="145" t="str">
        <f t="shared" si="22"/>
        <v/>
      </c>
      <c r="T46" s="145" t="str">
        <f t="shared" si="22"/>
        <v/>
      </c>
      <c r="U46" s="145" t="str">
        <f t="shared" si="22"/>
        <v/>
      </c>
    </row>
    <row r="48" spans="2:22" ht="15.75" x14ac:dyDescent="0.25">
      <c r="B48" s="65" t="s">
        <v>119</v>
      </c>
      <c r="C48" s="6"/>
      <c r="D48" s="6"/>
      <c r="E48" s="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"/>
      <c r="R48" s="6"/>
      <c r="S48" s="6"/>
      <c r="T48" s="6"/>
      <c r="U48" s="6"/>
    </row>
    <row r="49" spans="2:21" x14ac:dyDescent="0.25">
      <c r="B49" s="150" t="s">
        <v>132</v>
      </c>
      <c r="C49" s="151">
        <f>VLOOKUP(B48,Promote_Structure,4,FALSE)</f>
        <v>0.1</v>
      </c>
      <c r="D49" s="115"/>
      <c r="E49" s="115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15"/>
      <c r="R49" s="115"/>
      <c r="S49" s="115"/>
      <c r="T49" s="115"/>
      <c r="U49" s="115"/>
    </row>
    <row r="50" spans="2:21" x14ac:dyDescent="0.25">
      <c r="B50" s="6" t="s">
        <v>134</v>
      </c>
      <c r="C50" s="6"/>
      <c r="D50" s="6"/>
      <c r="E50" s="6"/>
      <c r="F50" s="145">
        <f>IF(F29="","",E55)</f>
        <v>0</v>
      </c>
      <c r="G50" s="145">
        <f t="shared" ref="G50:U50" si="23">IF(G29="","",F55)</f>
        <v>49510500</v>
      </c>
      <c r="H50" s="145">
        <f t="shared" si="23"/>
        <v>50515452.131246656</v>
      </c>
      <c r="I50" s="145">
        <f t="shared" si="23"/>
        <v>51466130.413117975</v>
      </c>
      <c r="J50" s="145">
        <f t="shared" si="23"/>
        <v>52353238.234113932</v>
      </c>
      <c r="K50" s="145">
        <f t="shared" si="23"/>
        <v>53890694.176365592</v>
      </c>
      <c r="L50" s="145">
        <f t="shared" si="23"/>
        <v>55415226.360396132</v>
      </c>
      <c r="M50" s="145">
        <f t="shared" si="23"/>
        <v>56921375.676572286</v>
      </c>
      <c r="N50" s="145">
        <f t="shared" si="23"/>
        <v>58403032.935952164</v>
      </c>
      <c r="O50" s="145">
        <f t="shared" si="23"/>
        <v>59853371.258145809</v>
      </c>
      <c r="P50" s="145">
        <f t="shared" si="23"/>
        <v>61264771.632856481</v>
      </c>
      <c r="Q50" s="145" t="str">
        <f t="shared" si="23"/>
        <v/>
      </c>
      <c r="R50" s="145" t="str">
        <f t="shared" si="23"/>
        <v/>
      </c>
      <c r="S50" s="145" t="str">
        <f t="shared" si="23"/>
        <v/>
      </c>
      <c r="T50" s="145" t="str">
        <f t="shared" si="23"/>
        <v/>
      </c>
      <c r="U50" s="145" t="str">
        <f t="shared" si="23"/>
        <v/>
      </c>
    </row>
    <row r="51" spans="2:21" x14ac:dyDescent="0.25">
      <c r="B51" s="6" t="s">
        <v>135</v>
      </c>
      <c r="C51" s="6"/>
      <c r="D51" s="6"/>
      <c r="E51" s="6"/>
      <c r="F51" s="145">
        <f>IF(F50="","",F50*$C49)</f>
        <v>0</v>
      </c>
      <c r="G51" s="145">
        <f t="shared" ref="G51:U51" si="24">IF(G50="","",G50*$C49)</f>
        <v>4951050</v>
      </c>
      <c r="H51" s="145">
        <f t="shared" si="24"/>
        <v>5051545.2131246664</v>
      </c>
      <c r="I51" s="145">
        <f t="shared" si="24"/>
        <v>5146613.0413117977</v>
      </c>
      <c r="J51" s="145">
        <f t="shared" si="24"/>
        <v>5235323.8234113939</v>
      </c>
      <c r="K51" s="145">
        <f t="shared" si="24"/>
        <v>5389069.4176365593</v>
      </c>
      <c r="L51" s="145">
        <f t="shared" si="24"/>
        <v>5541522.6360396137</v>
      </c>
      <c r="M51" s="145">
        <f t="shared" si="24"/>
        <v>5692137.5676572286</v>
      </c>
      <c r="N51" s="145">
        <f t="shared" si="24"/>
        <v>5840303.2935952172</v>
      </c>
      <c r="O51" s="145">
        <f t="shared" si="24"/>
        <v>5985337.1258145813</v>
      </c>
      <c r="P51" s="145">
        <f t="shared" si="24"/>
        <v>6126477.1632856485</v>
      </c>
      <c r="Q51" s="145" t="str">
        <f t="shared" si="24"/>
        <v/>
      </c>
      <c r="R51" s="145" t="str">
        <f t="shared" si="24"/>
        <v/>
      </c>
      <c r="S51" s="145" t="str">
        <f t="shared" si="24"/>
        <v/>
      </c>
      <c r="T51" s="145" t="str">
        <f t="shared" si="24"/>
        <v/>
      </c>
      <c r="U51" s="145" t="str">
        <f t="shared" si="24"/>
        <v/>
      </c>
    </row>
    <row r="52" spans="2:21" x14ac:dyDescent="0.25">
      <c r="B52" s="6" t="s">
        <v>137</v>
      </c>
      <c r="C52" s="6"/>
      <c r="D52" s="6"/>
      <c r="E52" s="6"/>
      <c r="F52" s="145">
        <f t="shared" ref="F52:U52" si="25">IF(F50="","",-MIN(0,F$31*Equity_Share_LP))</f>
        <v>49510500</v>
      </c>
      <c r="G52" s="145">
        <f t="shared" si="25"/>
        <v>0</v>
      </c>
      <c r="H52" s="145">
        <f t="shared" si="25"/>
        <v>0</v>
      </c>
      <c r="I52" s="145">
        <f t="shared" si="25"/>
        <v>0</v>
      </c>
      <c r="J52" s="145">
        <f t="shared" si="25"/>
        <v>0</v>
      </c>
      <c r="K52" s="145">
        <f t="shared" si="25"/>
        <v>0</v>
      </c>
      <c r="L52" s="145">
        <f t="shared" si="25"/>
        <v>0</v>
      </c>
      <c r="M52" s="145">
        <f t="shared" si="25"/>
        <v>0</v>
      </c>
      <c r="N52" s="145">
        <f t="shared" si="25"/>
        <v>0</v>
      </c>
      <c r="O52" s="145">
        <f t="shared" si="25"/>
        <v>0</v>
      </c>
      <c r="P52" s="145">
        <f t="shared" si="25"/>
        <v>0</v>
      </c>
      <c r="Q52" s="145" t="str">
        <f t="shared" si="25"/>
        <v/>
      </c>
      <c r="R52" s="145" t="str">
        <f t="shared" si="25"/>
        <v/>
      </c>
      <c r="S52" s="145" t="str">
        <f t="shared" si="25"/>
        <v/>
      </c>
      <c r="T52" s="145" t="str">
        <f t="shared" si="25"/>
        <v/>
      </c>
      <c r="U52" s="145" t="str">
        <f t="shared" si="25"/>
        <v/>
      </c>
    </row>
    <row r="53" spans="2:21" x14ac:dyDescent="0.25">
      <c r="B53" s="6" t="s">
        <v>142</v>
      </c>
      <c r="C53" s="6"/>
      <c r="D53" s="6"/>
      <c r="E53" s="6"/>
      <c r="F53" s="145">
        <f>F43</f>
        <v>0</v>
      </c>
      <c r="G53" s="145">
        <f t="shared" ref="G53:U53" si="26">G43</f>
        <v>3946097.8687533475</v>
      </c>
      <c r="H53" s="145">
        <f t="shared" si="26"/>
        <v>4100866.9312533466</v>
      </c>
      <c r="I53" s="145">
        <f t="shared" si="26"/>
        <v>4259505.2203158457</v>
      </c>
      <c r="J53" s="145">
        <f t="shared" si="26"/>
        <v>3697867.8811597303</v>
      </c>
      <c r="K53" s="145">
        <f t="shared" si="26"/>
        <v>3864537.2336060195</v>
      </c>
      <c r="L53" s="145">
        <f t="shared" si="26"/>
        <v>4035373.3198634638</v>
      </c>
      <c r="M53" s="145">
        <f t="shared" si="26"/>
        <v>4210480.3082773471</v>
      </c>
      <c r="N53" s="145">
        <f t="shared" si="26"/>
        <v>4389964.971401575</v>
      </c>
      <c r="O53" s="145">
        <f t="shared" si="26"/>
        <v>4573936.7511039106</v>
      </c>
      <c r="P53" s="145">
        <f t="shared" si="26"/>
        <v>51710021.3613398</v>
      </c>
      <c r="Q53" s="145" t="str">
        <f t="shared" si="26"/>
        <v/>
      </c>
      <c r="R53" s="145" t="str">
        <f t="shared" si="26"/>
        <v/>
      </c>
      <c r="S53" s="145" t="str">
        <f t="shared" si="26"/>
        <v/>
      </c>
      <c r="T53" s="145" t="str">
        <f t="shared" si="26"/>
        <v/>
      </c>
      <c r="U53" s="145" t="str">
        <f t="shared" si="26"/>
        <v/>
      </c>
    </row>
    <row r="54" spans="2:21" x14ac:dyDescent="0.25">
      <c r="B54" s="6" t="str">
        <f>"Distributions to LP "&amp;B48</f>
        <v>Distributions to LP Hurdle 2</v>
      </c>
      <c r="C54" s="6"/>
      <c r="D54" s="6"/>
      <c r="E54" s="6"/>
      <c r="F54" s="145">
        <f>IF(F50="","",MIN(F50+F51-F53,F46))</f>
        <v>0</v>
      </c>
      <c r="G54" s="145">
        <f t="shared" ref="G54:U54" si="27">IF(G50="","",MIN(G50+G51-G53,G46))</f>
        <v>0</v>
      </c>
      <c r="H54" s="145">
        <f t="shared" si="27"/>
        <v>0</v>
      </c>
      <c r="I54" s="145">
        <f t="shared" si="27"/>
        <v>0</v>
      </c>
      <c r="J54" s="145">
        <f t="shared" si="27"/>
        <v>4.6566128730773926E-10</v>
      </c>
      <c r="K54" s="145">
        <f t="shared" si="27"/>
        <v>0</v>
      </c>
      <c r="L54" s="145">
        <f t="shared" si="27"/>
        <v>0</v>
      </c>
      <c r="M54" s="145">
        <f t="shared" si="27"/>
        <v>0</v>
      </c>
      <c r="N54" s="145">
        <f t="shared" si="27"/>
        <v>0</v>
      </c>
      <c r="O54" s="145">
        <f t="shared" si="27"/>
        <v>0</v>
      </c>
      <c r="P54" s="145">
        <f t="shared" si="27"/>
        <v>15681227.434802331</v>
      </c>
      <c r="Q54" s="145" t="str">
        <f t="shared" si="27"/>
        <v/>
      </c>
      <c r="R54" s="145" t="str">
        <f t="shared" si="27"/>
        <v/>
      </c>
      <c r="S54" s="145" t="str">
        <f t="shared" si="27"/>
        <v/>
      </c>
      <c r="T54" s="145" t="str">
        <f t="shared" si="27"/>
        <v/>
      </c>
      <c r="U54" s="145" t="str">
        <f t="shared" si="27"/>
        <v/>
      </c>
    </row>
    <row r="55" spans="2:21" x14ac:dyDescent="0.25">
      <c r="B55" s="6" t="s">
        <v>136</v>
      </c>
      <c r="C55" s="6"/>
      <c r="D55" s="6"/>
      <c r="E55" s="6"/>
      <c r="F55" s="145">
        <f>F50+F52-F54</f>
        <v>49510500</v>
      </c>
      <c r="G55" s="145">
        <f>IF(G50="","",G50+G51+G52-G53-G54)</f>
        <v>50515452.131246656</v>
      </c>
      <c r="H55" s="145">
        <f t="shared" ref="H55:U55" si="28">IF(H50="","",H50+H51+H52-H53-H54)</f>
        <v>51466130.413117975</v>
      </c>
      <c r="I55" s="145">
        <f t="shared" si="28"/>
        <v>52353238.234113932</v>
      </c>
      <c r="J55" s="145">
        <f t="shared" si="28"/>
        <v>53890694.176365592</v>
      </c>
      <c r="K55" s="145">
        <f t="shared" si="28"/>
        <v>55415226.360396132</v>
      </c>
      <c r="L55" s="145">
        <f t="shared" si="28"/>
        <v>56921375.676572286</v>
      </c>
      <c r="M55" s="145">
        <f t="shared" si="28"/>
        <v>58403032.935952164</v>
      </c>
      <c r="N55" s="145">
        <f t="shared" si="28"/>
        <v>59853371.258145809</v>
      </c>
      <c r="O55" s="145">
        <f t="shared" si="28"/>
        <v>61264771.632856481</v>
      </c>
      <c r="P55" s="145">
        <f t="shared" si="28"/>
        <v>0</v>
      </c>
      <c r="Q55" s="145" t="str">
        <f t="shared" si="28"/>
        <v/>
      </c>
      <c r="R55" s="145" t="str">
        <f t="shared" si="28"/>
        <v/>
      </c>
      <c r="S55" s="145" t="str">
        <f t="shared" si="28"/>
        <v/>
      </c>
      <c r="T55" s="145" t="str">
        <f t="shared" si="28"/>
        <v/>
      </c>
      <c r="U55" s="145" t="str">
        <f t="shared" si="28"/>
        <v/>
      </c>
    </row>
    <row r="56" spans="2:21" x14ac:dyDescent="0.25">
      <c r="B56" s="146">
        <f>C49</f>
        <v>0.1</v>
      </c>
      <c r="C56" s="6"/>
      <c r="D56" s="6"/>
      <c r="E56" s="147">
        <f>IRR(F56:U56)</f>
        <v>0.10000000000000009</v>
      </c>
      <c r="F56" s="145">
        <f>IF(F50="","",-F52+F54)</f>
        <v>-49510500</v>
      </c>
      <c r="G56" s="145">
        <f>IF(G50="","",-G52+G53+G54)</f>
        <v>3946097.8687533475</v>
      </c>
      <c r="H56" s="145">
        <f t="shared" ref="H56:U56" si="29">IF(H50="","",-H52+H53+H54)</f>
        <v>4100866.9312533466</v>
      </c>
      <c r="I56" s="145">
        <f t="shared" si="29"/>
        <v>4259505.2203158457</v>
      </c>
      <c r="J56" s="145">
        <f t="shared" si="29"/>
        <v>3697867.8811597307</v>
      </c>
      <c r="K56" s="145">
        <f t="shared" si="29"/>
        <v>3864537.2336060195</v>
      </c>
      <c r="L56" s="145">
        <f t="shared" si="29"/>
        <v>4035373.3198634638</v>
      </c>
      <c r="M56" s="145">
        <f t="shared" si="29"/>
        <v>4210480.3082773471</v>
      </c>
      <c r="N56" s="145">
        <f t="shared" si="29"/>
        <v>4389964.971401575</v>
      </c>
      <c r="O56" s="145">
        <f t="shared" si="29"/>
        <v>4573936.7511039106</v>
      </c>
      <c r="P56" s="145">
        <f t="shared" si="29"/>
        <v>67391248.796142131</v>
      </c>
      <c r="Q56" s="145" t="str">
        <f t="shared" si="29"/>
        <v/>
      </c>
      <c r="R56" s="145" t="str">
        <f t="shared" si="29"/>
        <v/>
      </c>
      <c r="S56" s="145" t="str">
        <f t="shared" si="29"/>
        <v/>
      </c>
      <c r="T56" s="145" t="str">
        <f t="shared" si="29"/>
        <v/>
      </c>
      <c r="U56" s="145" t="str">
        <f t="shared" si="29"/>
        <v/>
      </c>
    </row>
    <row r="57" spans="2:21" x14ac:dyDescent="0.25">
      <c r="B57" s="148" t="s">
        <v>27</v>
      </c>
      <c r="C57" s="148" t="s">
        <v>27</v>
      </c>
      <c r="D57" s="148" t="s">
        <v>27</v>
      </c>
      <c r="E57" s="148" t="s">
        <v>27</v>
      </c>
      <c r="F57" s="149" t="str">
        <f>IF(F50="","",".")</f>
        <v>.</v>
      </c>
      <c r="G57" s="149" t="str">
        <f t="shared" ref="G57:U57" si="30">IF(G50="","",".")</f>
        <v>.</v>
      </c>
      <c r="H57" s="149" t="str">
        <f t="shared" si="30"/>
        <v>.</v>
      </c>
      <c r="I57" s="149" t="str">
        <f t="shared" si="30"/>
        <v>.</v>
      </c>
      <c r="J57" s="149" t="str">
        <f t="shared" si="30"/>
        <v>.</v>
      </c>
      <c r="K57" s="149" t="str">
        <f t="shared" si="30"/>
        <v>.</v>
      </c>
      <c r="L57" s="149" t="str">
        <f t="shared" si="30"/>
        <v>.</v>
      </c>
      <c r="M57" s="149" t="str">
        <f t="shared" si="30"/>
        <v>.</v>
      </c>
      <c r="N57" s="149" t="str">
        <f t="shared" si="30"/>
        <v>.</v>
      </c>
      <c r="O57" s="149" t="str">
        <f t="shared" si="30"/>
        <v>.</v>
      </c>
      <c r="P57" s="149" t="str">
        <f t="shared" si="30"/>
        <v>.</v>
      </c>
      <c r="Q57" s="149" t="str">
        <f t="shared" si="30"/>
        <v/>
      </c>
      <c r="R57" s="149" t="str">
        <f t="shared" si="30"/>
        <v/>
      </c>
      <c r="S57" s="149" t="str">
        <f t="shared" si="30"/>
        <v/>
      </c>
      <c r="T57" s="149" t="str">
        <f t="shared" si="30"/>
        <v/>
      </c>
      <c r="U57" s="149" t="str">
        <f t="shared" si="30"/>
        <v/>
      </c>
    </row>
    <row r="58" spans="2:21" x14ac:dyDescent="0.25">
      <c r="B58" s="6" t="s">
        <v>139</v>
      </c>
      <c r="C58" s="6"/>
      <c r="D58" s="6"/>
      <c r="E58" s="6"/>
      <c r="F58" s="145">
        <f>IF(F50="","",F54)</f>
        <v>0</v>
      </c>
      <c r="G58" s="145">
        <f t="shared" ref="G58:U58" si="31">IF(G50="","",G54)</f>
        <v>0</v>
      </c>
      <c r="H58" s="145">
        <f t="shared" si="31"/>
        <v>0</v>
      </c>
      <c r="I58" s="145">
        <f t="shared" si="31"/>
        <v>0</v>
      </c>
      <c r="J58" s="145">
        <f t="shared" si="31"/>
        <v>4.6566128730773926E-10</v>
      </c>
      <c r="K58" s="145">
        <f t="shared" si="31"/>
        <v>0</v>
      </c>
      <c r="L58" s="145">
        <f t="shared" si="31"/>
        <v>0</v>
      </c>
      <c r="M58" s="145">
        <f t="shared" si="31"/>
        <v>0</v>
      </c>
      <c r="N58" s="145">
        <f t="shared" si="31"/>
        <v>0</v>
      </c>
      <c r="O58" s="145">
        <f t="shared" si="31"/>
        <v>0</v>
      </c>
      <c r="P58" s="145">
        <f t="shared" si="31"/>
        <v>15681227.434802331</v>
      </c>
      <c r="Q58" s="145" t="str">
        <f t="shared" si="31"/>
        <v/>
      </c>
      <c r="R58" s="145" t="str">
        <f t="shared" si="31"/>
        <v/>
      </c>
      <c r="S58" s="145" t="str">
        <f t="shared" si="31"/>
        <v/>
      </c>
      <c r="T58" s="145" t="str">
        <f t="shared" si="31"/>
        <v/>
      </c>
      <c r="U58" s="145" t="str">
        <f t="shared" si="31"/>
        <v/>
      </c>
    </row>
    <row r="59" spans="2:21" x14ac:dyDescent="0.25">
      <c r="B59" s="6" t="s">
        <v>138</v>
      </c>
      <c r="C59" s="6"/>
      <c r="D59" s="6"/>
      <c r="E59" s="6"/>
      <c r="F59" s="145">
        <f t="shared" ref="F59:U59" si="32">IF(F50="","",F58/VLOOKUP($B48,Promote_Structure,8,FALSE)*VLOOKUP($B48,Promote_Structure,7,FALSE))</f>
        <v>0</v>
      </c>
      <c r="G59" s="145">
        <f t="shared" si="32"/>
        <v>0</v>
      </c>
      <c r="H59" s="145">
        <f t="shared" si="32"/>
        <v>0</v>
      </c>
      <c r="I59" s="145">
        <f t="shared" si="32"/>
        <v>0</v>
      </c>
      <c r="J59" s="145">
        <f t="shared" si="32"/>
        <v>6.5006846376294108E-11</v>
      </c>
      <c r="K59" s="145">
        <f t="shared" si="32"/>
        <v>0</v>
      </c>
      <c r="L59" s="145">
        <f t="shared" si="32"/>
        <v>0</v>
      </c>
      <c r="M59" s="145">
        <f t="shared" si="32"/>
        <v>0</v>
      </c>
      <c r="N59" s="145">
        <f t="shared" si="32"/>
        <v>0</v>
      </c>
      <c r="O59" s="145">
        <f t="shared" si="32"/>
        <v>0</v>
      </c>
      <c r="P59" s="145">
        <f t="shared" si="32"/>
        <v>2189117.2202430619</v>
      </c>
      <c r="Q59" s="145" t="str">
        <f t="shared" si="32"/>
        <v/>
      </c>
      <c r="R59" s="145" t="str">
        <f t="shared" si="32"/>
        <v/>
      </c>
      <c r="S59" s="145" t="str">
        <f t="shared" si="32"/>
        <v/>
      </c>
      <c r="T59" s="145" t="str">
        <f t="shared" si="32"/>
        <v/>
      </c>
      <c r="U59" s="145" t="str">
        <f t="shared" si="32"/>
        <v/>
      </c>
    </row>
    <row r="60" spans="2:21" x14ac:dyDescent="0.25">
      <c r="B60" s="6" t="str">
        <f>"Total Distributions ("&amp;B48&amp;")"</f>
        <v>Total Distributions (Hurdle 2)</v>
      </c>
      <c r="C60" s="6"/>
      <c r="D60" s="6"/>
      <c r="E60" s="6"/>
      <c r="F60" s="145">
        <f>IF(F50="","",F58+F59)</f>
        <v>0</v>
      </c>
      <c r="G60" s="145">
        <f t="shared" ref="G60:U60" si="33">IF(G50="","",G58+G59)</f>
        <v>0</v>
      </c>
      <c r="H60" s="145">
        <f t="shared" si="33"/>
        <v>0</v>
      </c>
      <c r="I60" s="145">
        <f t="shared" si="33"/>
        <v>0</v>
      </c>
      <c r="J60" s="145">
        <f t="shared" si="33"/>
        <v>5.3066813368403335E-10</v>
      </c>
      <c r="K60" s="145">
        <f t="shared" si="33"/>
        <v>0</v>
      </c>
      <c r="L60" s="145">
        <f t="shared" si="33"/>
        <v>0</v>
      </c>
      <c r="M60" s="145">
        <f t="shared" si="33"/>
        <v>0</v>
      </c>
      <c r="N60" s="145">
        <f t="shared" si="33"/>
        <v>0</v>
      </c>
      <c r="O60" s="145">
        <f t="shared" si="33"/>
        <v>0</v>
      </c>
      <c r="P60" s="145">
        <f t="shared" si="33"/>
        <v>17870344.655045394</v>
      </c>
      <c r="Q60" s="145" t="str">
        <f t="shared" si="33"/>
        <v/>
      </c>
      <c r="R60" s="145" t="str">
        <f t="shared" si="33"/>
        <v/>
      </c>
      <c r="S60" s="145" t="str">
        <f t="shared" si="33"/>
        <v/>
      </c>
      <c r="T60" s="145" t="str">
        <f t="shared" si="33"/>
        <v/>
      </c>
      <c r="U60" s="145" t="str">
        <f t="shared" si="33"/>
        <v/>
      </c>
    </row>
    <row r="61" spans="2:21" x14ac:dyDescent="0.25">
      <c r="B61" s="6" t="s">
        <v>140</v>
      </c>
      <c r="C61" s="6"/>
      <c r="D61" s="6"/>
      <c r="E61" s="6"/>
      <c r="F61" s="145">
        <f>IF(F50="","",MAX(F$31-F45-F60,0))</f>
        <v>0</v>
      </c>
      <c r="G61" s="145">
        <f t="shared" ref="G61:U61" si="34">IF(G50="","",MAX(G$31-G45-G60,0))</f>
        <v>0</v>
      </c>
      <c r="H61" s="145">
        <f t="shared" si="34"/>
        <v>0</v>
      </c>
      <c r="I61" s="145">
        <f t="shared" si="34"/>
        <v>0</v>
      </c>
      <c r="J61" s="145">
        <f t="shared" si="34"/>
        <v>0</v>
      </c>
      <c r="K61" s="145">
        <f t="shared" si="34"/>
        <v>0</v>
      </c>
      <c r="L61" s="145">
        <f t="shared" si="34"/>
        <v>0</v>
      </c>
      <c r="M61" s="145">
        <f t="shared" si="34"/>
        <v>0</v>
      </c>
      <c r="N61" s="145">
        <f t="shared" si="34"/>
        <v>0</v>
      </c>
      <c r="O61" s="145">
        <f t="shared" si="34"/>
        <v>0</v>
      </c>
      <c r="P61" s="145">
        <f t="shared" si="34"/>
        <v>31454898.484388862</v>
      </c>
      <c r="Q61" s="145" t="str">
        <f t="shared" si="34"/>
        <v/>
      </c>
      <c r="R61" s="145" t="str">
        <f t="shared" si="34"/>
        <v/>
      </c>
      <c r="S61" s="145" t="str">
        <f t="shared" si="34"/>
        <v/>
      </c>
      <c r="T61" s="145" t="str">
        <f t="shared" si="34"/>
        <v/>
      </c>
      <c r="U61" s="145" t="str">
        <f t="shared" si="34"/>
        <v/>
      </c>
    </row>
    <row r="63" spans="2:21" ht="15.75" x14ac:dyDescent="0.25">
      <c r="B63" s="65" t="s">
        <v>120</v>
      </c>
      <c r="C63" s="6"/>
      <c r="D63" s="6"/>
      <c r="E63" s="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"/>
      <c r="R63" s="6"/>
      <c r="S63" s="6"/>
      <c r="T63" s="6"/>
      <c r="U63" s="6"/>
    </row>
    <row r="64" spans="2:21" x14ac:dyDescent="0.25">
      <c r="B64" s="150" t="s">
        <v>132</v>
      </c>
      <c r="C64" s="151">
        <f>VLOOKUP(B63,Promote_Structure,4,FALSE)</f>
        <v>0.12</v>
      </c>
      <c r="D64" s="115"/>
      <c r="E64" s="115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15"/>
      <c r="R64" s="115"/>
      <c r="S64" s="115"/>
      <c r="T64" s="115"/>
      <c r="U64" s="115"/>
    </row>
    <row r="65" spans="2:21" x14ac:dyDescent="0.25">
      <c r="B65" s="6" t="s">
        <v>134</v>
      </c>
      <c r="C65" s="6"/>
      <c r="D65" s="6"/>
      <c r="E65" s="6"/>
      <c r="F65" s="145">
        <f>IF(F44="","",E70)</f>
        <v>0</v>
      </c>
      <c r="G65" s="145">
        <f t="shared" ref="G65:U65" si="35">IF(G44="","",F70)</f>
        <v>49510500</v>
      </c>
      <c r="H65" s="145">
        <f t="shared" si="35"/>
        <v>51505662.131246656</v>
      </c>
      <c r="I65" s="145">
        <f t="shared" si="35"/>
        <v>53585474.655742913</v>
      </c>
      <c r="J65" s="145">
        <f t="shared" si="35"/>
        <v>55756226.394116223</v>
      </c>
      <c r="K65" s="145">
        <f t="shared" si="35"/>
        <v>58749105.680250436</v>
      </c>
      <c r="L65" s="145">
        <f t="shared" si="35"/>
        <v>61934461.128274471</v>
      </c>
      <c r="M65" s="145">
        <f t="shared" si="35"/>
        <v>65331223.143803947</v>
      </c>
      <c r="N65" s="145">
        <f t="shared" si="35"/>
        <v>68960489.612783059</v>
      </c>
      <c r="O65" s="145">
        <f t="shared" si="35"/>
        <v>72845783.394915462</v>
      </c>
      <c r="P65" s="145">
        <f t="shared" si="35"/>
        <v>77013340.651201412</v>
      </c>
      <c r="Q65" s="145" t="str">
        <f t="shared" si="35"/>
        <v/>
      </c>
      <c r="R65" s="145" t="str">
        <f t="shared" si="35"/>
        <v/>
      </c>
      <c r="S65" s="145" t="str">
        <f t="shared" si="35"/>
        <v/>
      </c>
      <c r="T65" s="145" t="str">
        <f t="shared" si="35"/>
        <v/>
      </c>
      <c r="U65" s="145" t="str">
        <f t="shared" si="35"/>
        <v/>
      </c>
    </row>
    <row r="66" spans="2:21" x14ac:dyDescent="0.25">
      <c r="B66" s="6" t="s">
        <v>135</v>
      </c>
      <c r="C66" s="6"/>
      <c r="D66" s="6"/>
      <c r="E66" s="6"/>
      <c r="F66" s="145">
        <f>IF(F65="","",F65*$C64)</f>
        <v>0</v>
      </c>
      <c r="G66" s="145">
        <f t="shared" ref="G66" si="36">IF(G65="","",G65*$C64)</f>
        <v>5941260</v>
      </c>
      <c r="H66" s="145">
        <f t="shared" ref="H66" si="37">IF(H65="","",H65*$C64)</f>
        <v>6180679.4557495983</v>
      </c>
      <c r="I66" s="145">
        <f t="shared" ref="I66" si="38">IF(I65="","",I65*$C64)</f>
        <v>6430256.9586891495</v>
      </c>
      <c r="J66" s="145">
        <f t="shared" ref="J66" si="39">IF(J65="","",J65*$C64)</f>
        <v>6690747.1672939463</v>
      </c>
      <c r="K66" s="145">
        <f t="shared" ref="K66" si="40">IF(K65="","",K65*$C64)</f>
        <v>7049892.6816300517</v>
      </c>
      <c r="L66" s="145">
        <f t="shared" ref="L66" si="41">IF(L65="","",L65*$C64)</f>
        <v>7432135.3353929361</v>
      </c>
      <c r="M66" s="145">
        <f t="shared" ref="M66" si="42">IF(M65="","",M65*$C64)</f>
        <v>7839746.777256473</v>
      </c>
      <c r="N66" s="145">
        <f t="shared" ref="N66" si="43">IF(N65="","",N65*$C64)</f>
        <v>8275258.7535339668</v>
      </c>
      <c r="O66" s="145">
        <f t="shared" ref="O66" si="44">IF(O65="","",O65*$C64)</f>
        <v>8741494.0073898546</v>
      </c>
      <c r="P66" s="145">
        <f t="shared" ref="P66" si="45">IF(P65="","",P65*$C64)</f>
        <v>9241600.8781441692</v>
      </c>
      <c r="Q66" s="145" t="str">
        <f t="shared" ref="Q66" si="46">IF(Q65="","",Q65*$C64)</f>
        <v/>
      </c>
      <c r="R66" s="145" t="str">
        <f t="shared" ref="R66" si="47">IF(R65="","",R65*$C64)</f>
        <v/>
      </c>
      <c r="S66" s="145" t="str">
        <f t="shared" ref="S66" si="48">IF(S65="","",S65*$C64)</f>
        <v/>
      </c>
      <c r="T66" s="145" t="str">
        <f t="shared" ref="T66" si="49">IF(T65="","",T65*$C64)</f>
        <v/>
      </c>
      <c r="U66" s="145" t="str">
        <f t="shared" ref="U66" si="50">IF(U65="","",U65*$C64)</f>
        <v/>
      </c>
    </row>
    <row r="67" spans="2:21" x14ac:dyDescent="0.25">
      <c r="B67" s="6" t="s">
        <v>137</v>
      </c>
      <c r="C67" s="6"/>
      <c r="D67" s="6"/>
      <c r="E67" s="6"/>
      <c r="F67" s="145">
        <f t="shared" ref="F67:U67" si="51">IF(F65="","",-MIN(0,F$31*Equity_Share_LP))</f>
        <v>49510500</v>
      </c>
      <c r="G67" s="145">
        <f t="shared" si="51"/>
        <v>0</v>
      </c>
      <c r="H67" s="145">
        <f t="shared" si="51"/>
        <v>0</v>
      </c>
      <c r="I67" s="145">
        <f t="shared" si="51"/>
        <v>0</v>
      </c>
      <c r="J67" s="145">
        <f t="shared" si="51"/>
        <v>0</v>
      </c>
      <c r="K67" s="145">
        <f t="shared" si="51"/>
        <v>0</v>
      </c>
      <c r="L67" s="145">
        <f t="shared" si="51"/>
        <v>0</v>
      </c>
      <c r="M67" s="145">
        <f t="shared" si="51"/>
        <v>0</v>
      </c>
      <c r="N67" s="145">
        <f t="shared" si="51"/>
        <v>0</v>
      </c>
      <c r="O67" s="145">
        <f t="shared" si="51"/>
        <v>0</v>
      </c>
      <c r="P67" s="145">
        <f t="shared" si="51"/>
        <v>0</v>
      </c>
      <c r="Q67" s="145" t="str">
        <f t="shared" si="51"/>
        <v/>
      </c>
      <c r="R67" s="145" t="str">
        <f t="shared" si="51"/>
        <v/>
      </c>
      <c r="S67" s="145" t="str">
        <f t="shared" si="51"/>
        <v/>
      </c>
      <c r="T67" s="145" t="str">
        <f t="shared" si="51"/>
        <v/>
      </c>
      <c r="U67" s="145" t="str">
        <f t="shared" si="51"/>
        <v/>
      </c>
    </row>
    <row r="68" spans="2:21" x14ac:dyDescent="0.25">
      <c r="B68" s="6" t="s">
        <v>142</v>
      </c>
      <c r="C68" s="6"/>
      <c r="D68" s="6"/>
      <c r="E68" s="6"/>
      <c r="F68" s="145">
        <f>IF(F65="","",F58+F43)</f>
        <v>0</v>
      </c>
      <c r="G68" s="145">
        <f t="shared" ref="G68:U68" si="52">IF(G65="","",G58+G43)</f>
        <v>3946097.8687533475</v>
      </c>
      <c r="H68" s="145">
        <f t="shared" si="52"/>
        <v>4100866.9312533466</v>
      </c>
      <c r="I68" s="145">
        <f t="shared" si="52"/>
        <v>4259505.2203158457</v>
      </c>
      <c r="J68" s="145">
        <f t="shared" si="52"/>
        <v>3697867.8811597307</v>
      </c>
      <c r="K68" s="145">
        <f t="shared" si="52"/>
        <v>3864537.2336060195</v>
      </c>
      <c r="L68" s="145">
        <f t="shared" si="52"/>
        <v>4035373.3198634638</v>
      </c>
      <c r="M68" s="145">
        <f t="shared" si="52"/>
        <v>4210480.3082773471</v>
      </c>
      <c r="N68" s="145">
        <f t="shared" si="52"/>
        <v>4389964.971401575</v>
      </c>
      <c r="O68" s="145">
        <f t="shared" si="52"/>
        <v>4573936.7511039106</v>
      </c>
      <c r="P68" s="145">
        <f t="shared" si="52"/>
        <v>67391248.796142131</v>
      </c>
      <c r="Q68" s="145" t="str">
        <f t="shared" si="52"/>
        <v/>
      </c>
      <c r="R68" s="145" t="str">
        <f t="shared" si="52"/>
        <v/>
      </c>
      <c r="S68" s="145" t="str">
        <f t="shared" si="52"/>
        <v/>
      </c>
      <c r="T68" s="145" t="str">
        <f t="shared" si="52"/>
        <v/>
      </c>
      <c r="U68" s="145" t="str">
        <f t="shared" si="52"/>
        <v/>
      </c>
    </row>
    <row r="69" spans="2:21" x14ac:dyDescent="0.25">
      <c r="B69" s="6" t="str">
        <f>"Distributions to LP "&amp;B63</f>
        <v>Distributions to LP Hurdle 3</v>
      </c>
      <c r="C69" s="6"/>
      <c r="D69" s="6"/>
      <c r="E69" s="6"/>
      <c r="F69" s="145">
        <f>IF(F65="","",MIN(F65+F66-F68,F61))</f>
        <v>0</v>
      </c>
      <c r="G69" s="145">
        <f t="shared" ref="G69" si="53">IF(G65="","",MIN(G65+G66-G68,G61))</f>
        <v>0</v>
      </c>
      <c r="H69" s="145">
        <f t="shared" ref="H69" si="54">IF(H65="","",MIN(H65+H66-H68,H61))</f>
        <v>0</v>
      </c>
      <c r="I69" s="145">
        <f t="shared" ref="I69" si="55">IF(I65="","",MIN(I65+I66-I68,I61))</f>
        <v>0</v>
      </c>
      <c r="J69" s="145">
        <f t="shared" ref="J69" si="56">IF(J65="","",MIN(J65+J66-J68,J61))</f>
        <v>0</v>
      </c>
      <c r="K69" s="145">
        <f t="shared" ref="K69" si="57">IF(K65="","",MIN(K65+K66-K68,K61))</f>
        <v>0</v>
      </c>
      <c r="L69" s="145">
        <f t="shared" ref="L69" si="58">IF(L65="","",MIN(L65+L66-L68,L61))</f>
        <v>0</v>
      </c>
      <c r="M69" s="145">
        <f t="shared" ref="M69" si="59">IF(M65="","",MIN(M65+M66-M68,M61))</f>
        <v>0</v>
      </c>
      <c r="N69" s="145">
        <f t="shared" ref="N69" si="60">IF(N65="","",MIN(N65+N66-N68,N61))</f>
        <v>0</v>
      </c>
      <c r="O69" s="145">
        <f t="shared" ref="O69" si="61">IF(O65="","",MIN(O65+O66-O68,O61))</f>
        <v>0</v>
      </c>
      <c r="P69" s="145">
        <f t="shared" ref="P69" si="62">IF(P65="","",MIN(P65+P66-P68,P61))</f>
        <v>18863692.733203456</v>
      </c>
      <c r="Q69" s="145" t="str">
        <f t="shared" ref="Q69" si="63">IF(Q65="","",MIN(Q65+Q66-Q68,Q61))</f>
        <v/>
      </c>
      <c r="R69" s="145" t="str">
        <f t="shared" ref="R69" si="64">IF(R65="","",MIN(R65+R66-R68,R61))</f>
        <v/>
      </c>
      <c r="S69" s="145" t="str">
        <f t="shared" ref="S69" si="65">IF(S65="","",MIN(S65+S66-S68,S61))</f>
        <v/>
      </c>
      <c r="T69" s="145" t="str">
        <f t="shared" ref="T69" si="66">IF(T65="","",MIN(T65+T66-T68,T61))</f>
        <v/>
      </c>
      <c r="U69" s="145" t="str">
        <f t="shared" ref="U69" si="67">IF(U65="","",MIN(U65+U66-U68,U61))</f>
        <v/>
      </c>
    </row>
    <row r="70" spans="2:21" x14ac:dyDescent="0.25">
      <c r="B70" s="6" t="s">
        <v>136</v>
      </c>
      <c r="C70" s="6"/>
      <c r="D70" s="6"/>
      <c r="E70" s="6"/>
      <c r="F70" s="145">
        <f>F65+F67-F69</f>
        <v>49510500</v>
      </c>
      <c r="G70" s="145">
        <f>IF(G65="","",G65+G66+G67-G68-G69)</f>
        <v>51505662.131246656</v>
      </c>
      <c r="H70" s="145">
        <f t="shared" ref="H70" si="68">IF(H65="","",H65+H66+H67-H68-H69)</f>
        <v>53585474.655742913</v>
      </c>
      <c r="I70" s="145">
        <f t="shared" ref="I70" si="69">IF(I65="","",I65+I66+I67-I68-I69)</f>
        <v>55756226.394116223</v>
      </c>
      <c r="J70" s="145">
        <f t="shared" ref="J70" si="70">IF(J65="","",J65+J66+J67-J68-J69)</f>
        <v>58749105.680250436</v>
      </c>
      <c r="K70" s="145">
        <f t="shared" ref="K70" si="71">IF(K65="","",K65+K66+K67-K68-K69)</f>
        <v>61934461.128274471</v>
      </c>
      <c r="L70" s="145">
        <f t="shared" ref="L70" si="72">IF(L65="","",L65+L66+L67-L68-L69)</f>
        <v>65331223.143803947</v>
      </c>
      <c r="M70" s="145">
        <f t="shared" ref="M70" si="73">IF(M65="","",M65+M66+M67-M68-M69)</f>
        <v>68960489.612783059</v>
      </c>
      <c r="N70" s="145">
        <f t="shared" ref="N70" si="74">IF(N65="","",N65+N66+N67-N68-N69)</f>
        <v>72845783.394915462</v>
      </c>
      <c r="O70" s="145">
        <f t="shared" ref="O70" si="75">IF(O65="","",O65+O66+O67-O68-O69)</f>
        <v>77013340.651201412</v>
      </c>
      <c r="P70" s="145">
        <f t="shared" ref="P70" si="76">IF(P65="","",P65+P66+P67-P68-P69)</f>
        <v>0</v>
      </c>
      <c r="Q70" s="145" t="str">
        <f t="shared" ref="Q70" si="77">IF(Q65="","",Q65+Q66+Q67-Q68-Q69)</f>
        <v/>
      </c>
      <c r="R70" s="145" t="str">
        <f t="shared" ref="R70" si="78">IF(R65="","",R65+R66+R67-R68-R69)</f>
        <v/>
      </c>
      <c r="S70" s="145" t="str">
        <f t="shared" ref="S70" si="79">IF(S65="","",S65+S66+S67-S68-S69)</f>
        <v/>
      </c>
      <c r="T70" s="145" t="str">
        <f t="shared" ref="T70" si="80">IF(T65="","",T65+T66+T67-T68-T69)</f>
        <v/>
      </c>
      <c r="U70" s="145" t="str">
        <f t="shared" ref="U70" si="81">IF(U65="","",U65+U66+U67-U68-U69)</f>
        <v/>
      </c>
    </row>
    <row r="71" spans="2:21" x14ac:dyDescent="0.25">
      <c r="B71" s="146">
        <f>C64</f>
        <v>0.12</v>
      </c>
      <c r="C71" s="6"/>
      <c r="D71" s="6"/>
      <c r="E71" s="147">
        <f>IRR(F71:U71)</f>
        <v>0.11999999999999988</v>
      </c>
      <c r="F71" s="145">
        <f>IF(F65="","",-F67+F69)</f>
        <v>-49510500</v>
      </c>
      <c r="G71" s="145">
        <f>IF(G65="","",-G67+G68+G69)</f>
        <v>3946097.8687533475</v>
      </c>
      <c r="H71" s="145">
        <f t="shared" ref="H71:U71" si="82">IF(H65="","",-H67+H68+H69)</f>
        <v>4100866.9312533466</v>
      </c>
      <c r="I71" s="145">
        <f t="shared" si="82"/>
        <v>4259505.2203158457</v>
      </c>
      <c r="J71" s="145">
        <f t="shared" si="82"/>
        <v>3697867.8811597307</v>
      </c>
      <c r="K71" s="145">
        <f t="shared" si="82"/>
        <v>3864537.2336060195</v>
      </c>
      <c r="L71" s="145">
        <f t="shared" si="82"/>
        <v>4035373.3198634638</v>
      </c>
      <c r="M71" s="145">
        <f t="shared" si="82"/>
        <v>4210480.3082773471</v>
      </c>
      <c r="N71" s="145">
        <f t="shared" si="82"/>
        <v>4389964.971401575</v>
      </c>
      <c r="O71" s="145">
        <f t="shared" si="82"/>
        <v>4573936.7511039106</v>
      </c>
      <c r="P71" s="145">
        <f t="shared" si="82"/>
        <v>86254941.529345587</v>
      </c>
      <c r="Q71" s="145" t="str">
        <f t="shared" si="82"/>
        <v/>
      </c>
      <c r="R71" s="145" t="str">
        <f t="shared" si="82"/>
        <v/>
      </c>
      <c r="S71" s="145" t="str">
        <f t="shared" si="82"/>
        <v/>
      </c>
      <c r="T71" s="145" t="str">
        <f t="shared" si="82"/>
        <v/>
      </c>
      <c r="U71" s="145" t="str">
        <f t="shared" si="82"/>
        <v/>
      </c>
    </row>
    <row r="72" spans="2:21" x14ac:dyDescent="0.25">
      <c r="B72" s="148" t="s">
        <v>27</v>
      </c>
      <c r="C72" s="148" t="s">
        <v>27</v>
      </c>
      <c r="D72" s="148" t="s">
        <v>27</v>
      </c>
      <c r="E72" s="148" t="s">
        <v>27</v>
      </c>
      <c r="F72" s="149" t="str">
        <f>IF(F65="","",".")</f>
        <v>.</v>
      </c>
      <c r="G72" s="149" t="str">
        <f t="shared" ref="G72:U72" si="83">IF(G65="","",".")</f>
        <v>.</v>
      </c>
      <c r="H72" s="149" t="str">
        <f t="shared" si="83"/>
        <v>.</v>
      </c>
      <c r="I72" s="149" t="str">
        <f t="shared" si="83"/>
        <v>.</v>
      </c>
      <c r="J72" s="149" t="str">
        <f t="shared" si="83"/>
        <v>.</v>
      </c>
      <c r="K72" s="149" t="str">
        <f t="shared" si="83"/>
        <v>.</v>
      </c>
      <c r="L72" s="149" t="str">
        <f t="shared" si="83"/>
        <v>.</v>
      </c>
      <c r="M72" s="149" t="str">
        <f t="shared" si="83"/>
        <v>.</v>
      </c>
      <c r="N72" s="149" t="str">
        <f t="shared" si="83"/>
        <v>.</v>
      </c>
      <c r="O72" s="149" t="str">
        <f t="shared" si="83"/>
        <v>.</v>
      </c>
      <c r="P72" s="149" t="str">
        <f t="shared" si="83"/>
        <v>.</v>
      </c>
      <c r="Q72" s="149" t="str">
        <f t="shared" si="83"/>
        <v/>
      </c>
      <c r="R72" s="149" t="str">
        <f t="shared" si="83"/>
        <v/>
      </c>
      <c r="S72" s="149" t="str">
        <f t="shared" si="83"/>
        <v/>
      </c>
      <c r="T72" s="149" t="str">
        <f t="shared" si="83"/>
        <v/>
      </c>
      <c r="U72" s="149" t="str">
        <f t="shared" si="83"/>
        <v/>
      </c>
    </row>
    <row r="73" spans="2:21" x14ac:dyDescent="0.25">
      <c r="B73" s="6" t="s">
        <v>139</v>
      </c>
      <c r="C73" s="6"/>
      <c r="D73" s="6"/>
      <c r="E73" s="6"/>
      <c r="F73" s="145">
        <f>IF(F65="","",F69)</f>
        <v>0</v>
      </c>
      <c r="G73" s="145">
        <f t="shared" ref="G73:U73" si="84">IF(G65="","",G69)</f>
        <v>0</v>
      </c>
      <c r="H73" s="145">
        <f t="shared" si="84"/>
        <v>0</v>
      </c>
      <c r="I73" s="145">
        <f t="shared" si="84"/>
        <v>0</v>
      </c>
      <c r="J73" s="145">
        <f t="shared" si="84"/>
        <v>0</v>
      </c>
      <c r="K73" s="145">
        <f t="shared" si="84"/>
        <v>0</v>
      </c>
      <c r="L73" s="145">
        <f t="shared" si="84"/>
        <v>0</v>
      </c>
      <c r="M73" s="145">
        <f t="shared" si="84"/>
        <v>0</v>
      </c>
      <c r="N73" s="145">
        <f t="shared" si="84"/>
        <v>0</v>
      </c>
      <c r="O73" s="145">
        <f t="shared" si="84"/>
        <v>0</v>
      </c>
      <c r="P73" s="145">
        <f t="shared" si="84"/>
        <v>18863692.733203456</v>
      </c>
      <c r="Q73" s="145" t="str">
        <f t="shared" si="84"/>
        <v/>
      </c>
      <c r="R73" s="145" t="str">
        <f t="shared" si="84"/>
        <v/>
      </c>
      <c r="S73" s="145" t="str">
        <f t="shared" si="84"/>
        <v/>
      </c>
      <c r="T73" s="145" t="str">
        <f t="shared" si="84"/>
        <v/>
      </c>
      <c r="U73" s="145" t="str">
        <f t="shared" si="84"/>
        <v/>
      </c>
    </row>
    <row r="74" spans="2:21" x14ac:dyDescent="0.25">
      <c r="B74" s="6" t="s">
        <v>138</v>
      </c>
      <c r="C74" s="6"/>
      <c r="D74" s="6"/>
      <c r="E74" s="6"/>
      <c r="F74" s="145">
        <f t="shared" ref="F74:U74" si="85">IF(F65="","",F73/VLOOKUP($B63,Promote_Structure,8,FALSE)*VLOOKUP($B63,Promote_Structure,7,FALSE))</f>
        <v>0</v>
      </c>
      <c r="G74" s="145">
        <f t="shared" si="85"/>
        <v>0</v>
      </c>
      <c r="H74" s="145">
        <f t="shared" si="85"/>
        <v>0</v>
      </c>
      <c r="I74" s="145">
        <f t="shared" si="85"/>
        <v>0</v>
      </c>
      <c r="J74" s="145">
        <f t="shared" si="85"/>
        <v>0</v>
      </c>
      <c r="K74" s="145">
        <f t="shared" si="85"/>
        <v>0</v>
      </c>
      <c r="L74" s="145">
        <f t="shared" si="85"/>
        <v>0</v>
      </c>
      <c r="M74" s="145">
        <f t="shared" si="85"/>
        <v>0</v>
      </c>
      <c r="N74" s="145">
        <f t="shared" si="85"/>
        <v>0</v>
      </c>
      <c r="O74" s="145">
        <f t="shared" si="85"/>
        <v>0</v>
      </c>
      <c r="P74" s="145">
        <f t="shared" si="85"/>
        <v>5320528.719621487</v>
      </c>
      <c r="Q74" s="145" t="str">
        <f t="shared" si="85"/>
        <v/>
      </c>
      <c r="R74" s="145" t="str">
        <f t="shared" si="85"/>
        <v/>
      </c>
      <c r="S74" s="145" t="str">
        <f t="shared" si="85"/>
        <v/>
      </c>
      <c r="T74" s="145" t="str">
        <f t="shared" si="85"/>
        <v/>
      </c>
      <c r="U74" s="145" t="str">
        <f t="shared" si="85"/>
        <v/>
      </c>
    </row>
    <row r="75" spans="2:21" x14ac:dyDescent="0.25">
      <c r="B75" s="6" t="str">
        <f>"Total Distributions ("&amp;B63&amp;")"</f>
        <v>Total Distributions (Hurdle 3)</v>
      </c>
      <c r="C75" s="6"/>
      <c r="D75" s="6"/>
      <c r="E75" s="6"/>
      <c r="F75" s="145">
        <f>IF(F65="","",F73+F74)</f>
        <v>0</v>
      </c>
      <c r="G75" s="145">
        <f t="shared" ref="G75" si="86">IF(G65="","",G73+G74)</f>
        <v>0</v>
      </c>
      <c r="H75" s="145">
        <f t="shared" ref="H75" si="87">IF(H65="","",H73+H74)</f>
        <v>0</v>
      </c>
      <c r="I75" s="145">
        <f t="shared" ref="I75" si="88">IF(I65="","",I73+I74)</f>
        <v>0</v>
      </c>
      <c r="J75" s="145">
        <f t="shared" ref="J75" si="89">IF(J65="","",J73+J74)</f>
        <v>0</v>
      </c>
      <c r="K75" s="145">
        <f t="shared" ref="K75" si="90">IF(K65="","",K73+K74)</f>
        <v>0</v>
      </c>
      <c r="L75" s="145">
        <f t="shared" ref="L75" si="91">IF(L65="","",L73+L74)</f>
        <v>0</v>
      </c>
      <c r="M75" s="145">
        <f t="shared" ref="M75" si="92">IF(M65="","",M73+M74)</f>
        <v>0</v>
      </c>
      <c r="N75" s="145">
        <f t="shared" ref="N75" si="93">IF(N65="","",N73+N74)</f>
        <v>0</v>
      </c>
      <c r="O75" s="145">
        <f t="shared" ref="O75" si="94">IF(O65="","",O73+O74)</f>
        <v>0</v>
      </c>
      <c r="P75" s="145">
        <f t="shared" ref="P75" si="95">IF(P65="","",P73+P74)</f>
        <v>24184221.452824943</v>
      </c>
      <c r="Q75" s="145" t="str">
        <f t="shared" ref="Q75" si="96">IF(Q65="","",Q73+Q74)</f>
        <v/>
      </c>
      <c r="R75" s="145" t="str">
        <f t="shared" ref="R75" si="97">IF(R65="","",R73+R74)</f>
        <v/>
      </c>
      <c r="S75" s="145" t="str">
        <f t="shared" ref="S75" si="98">IF(S65="","",S73+S74)</f>
        <v/>
      </c>
      <c r="T75" s="145" t="str">
        <f t="shared" ref="T75" si="99">IF(T65="","",T73+T74)</f>
        <v/>
      </c>
      <c r="U75" s="145" t="str">
        <f t="shared" ref="U75" si="100">IF(U65="","",U73+U74)</f>
        <v/>
      </c>
    </row>
    <row r="76" spans="2:21" x14ac:dyDescent="0.25">
      <c r="B76" s="6" t="s">
        <v>140</v>
      </c>
      <c r="C76" s="6"/>
      <c r="D76" s="6"/>
      <c r="E76" s="6"/>
      <c r="F76" s="145">
        <f>IF(F65="","",MAX(F$31-F45-F60-F75,0))</f>
        <v>0</v>
      </c>
      <c r="G76" s="145">
        <f t="shared" ref="G76:U76" si="101">IF(G65="","",MAX(G$31-G45-G60-G75,0))</f>
        <v>0</v>
      </c>
      <c r="H76" s="145">
        <f t="shared" si="101"/>
        <v>0</v>
      </c>
      <c r="I76" s="145">
        <f t="shared" si="101"/>
        <v>0</v>
      </c>
      <c r="J76" s="145">
        <f t="shared" si="101"/>
        <v>0</v>
      </c>
      <c r="K76" s="145">
        <f t="shared" si="101"/>
        <v>0</v>
      </c>
      <c r="L76" s="145">
        <f t="shared" si="101"/>
        <v>0</v>
      </c>
      <c r="M76" s="145">
        <f t="shared" si="101"/>
        <v>0</v>
      </c>
      <c r="N76" s="145">
        <f t="shared" si="101"/>
        <v>0</v>
      </c>
      <c r="O76" s="145">
        <f t="shared" si="101"/>
        <v>0</v>
      </c>
      <c r="P76" s="145">
        <f t="shared" si="101"/>
        <v>7270677.031563919</v>
      </c>
      <c r="Q76" s="145" t="str">
        <f t="shared" si="101"/>
        <v/>
      </c>
      <c r="R76" s="145" t="str">
        <f t="shared" si="101"/>
        <v/>
      </c>
      <c r="S76" s="145" t="str">
        <f t="shared" si="101"/>
        <v/>
      </c>
      <c r="T76" s="145" t="str">
        <f t="shared" si="101"/>
        <v/>
      </c>
      <c r="U76" s="145" t="str">
        <f t="shared" si="101"/>
        <v/>
      </c>
    </row>
    <row r="78" spans="2:21" ht="15.75" x14ac:dyDescent="0.25">
      <c r="B78" s="65" t="s">
        <v>121</v>
      </c>
      <c r="C78" s="6"/>
      <c r="D78" s="6"/>
      <c r="E78" s="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"/>
      <c r="R78" s="6"/>
      <c r="S78" s="6"/>
      <c r="T78" s="6"/>
      <c r="U78" s="6"/>
    </row>
    <row r="79" spans="2:21" x14ac:dyDescent="0.25">
      <c r="B79" s="150" t="s">
        <v>132</v>
      </c>
      <c r="C79" s="151" t="s">
        <v>157</v>
      </c>
      <c r="D79" s="115"/>
      <c r="E79" s="115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15"/>
      <c r="R79" s="115"/>
      <c r="S79" s="115"/>
      <c r="T79" s="115"/>
      <c r="U79" s="115"/>
    </row>
    <row r="80" spans="2:21" x14ac:dyDescent="0.25">
      <c r="B80" s="6" t="s">
        <v>139</v>
      </c>
      <c r="C80" s="6"/>
      <c r="D80" s="6"/>
      <c r="E80" s="6"/>
      <c r="F80" s="145">
        <f>IF(F65="","",F76*$I$12)</f>
        <v>0</v>
      </c>
      <c r="G80" s="145">
        <f t="shared" ref="G80:U80" si="102">IF(G65="","",G76*$I$12)</f>
        <v>0</v>
      </c>
      <c r="H80" s="145">
        <f t="shared" si="102"/>
        <v>0</v>
      </c>
      <c r="I80" s="145">
        <f t="shared" si="102"/>
        <v>0</v>
      </c>
      <c r="J80" s="145">
        <f t="shared" si="102"/>
        <v>0</v>
      </c>
      <c r="K80" s="145">
        <f t="shared" si="102"/>
        <v>0</v>
      </c>
      <c r="L80" s="145">
        <f t="shared" si="102"/>
        <v>0</v>
      </c>
      <c r="M80" s="145">
        <f t="shared" si="102"/>
        <v>0</v>
      </c>
      <c r="N80" s="145">
        <f t="shared" si="102"/>
        <v>0</v>
      </c>
      <c r="O80" s="145">
        <f t="shared" si="102"/>
        <v>0</v>
      </c>
      <c r="P80" s="145">
        <f t="shared" si="102"/>
        <v>4253346.0634648921</v>
      </c>
      <c r="Q80" s="145" t="str">
        <f t="shared" si="102"/>
        <v/>
      </c>
      <c r="R80" s="145" t="str">
        <f t="shared" si="102"/>
        <v/>
      </c>
      <c r="S80" s="145" t="str">
        <f t="shared" si="102"/>
        <v/>
      </c>
      <c r="T80" s="145" t="str">
        <f t="shared" si="102"/>
        <v/>
      </c>
      <c r="U80" s="145" t="str">
        <f t="shared" si="102"/>
        <v/>
      </c>
    </row>
    <row r="81" spans="2:21" x14ac:dyDescent="0.25">
      <c r="B81" s="6" t="s">
        <v>138</v>
      </c>
      <c r="C81" s="6"/>
      <c r="D81" s="6"/>
      <c r="E81" s="6"/>
      <c r="F81" s="145">
        <f>IF(F80="","",F76-F80)</f>
        <v>0</v>
      </c>
      <c r="G81" s="145">
        <f t="shared" ref="G81:U81" si="103">IF(G80="","",G76-G80)</f>
        <v>0</v>
      </c>
      <c r="H81" s="145">
        <f t="shared" si="103"/>
        <v>0</v>
      </c>
      <c r="I81" s="145">
        <f t="shared" si="103"/>
        <v>0</v>
      </c>
      <c r="J81" s="145">
        <f t="shared" si="103"/>
        <v>0</v>
      </c>
      <c r="K81" s="145">
        <f t="shared" si="103"/>
        <v>0</v>
      </c>
      <c r="L81" s="145">
        <f t="shared" si="103"/>
        <v>0</v>
      </c>
      <c r="M81" s="145">
        <f t="shared" si="103"/>
        <v>0</v>
      </c>
      <c r="N81" s="145">
        <f t="shared" si="103"/>
        <v>0</v>
      </c>
      <c r="O81" s="145">
        <f t="shared" si="103"/>
        <v>0</v>
      </c>
      <c r="P81" s="145">
        <f t="shared" si="103"/>
        <v>3017330.9680990269</v>
      </c>
      <c r="Q81" s="145" t="str">
        <f t="shared" si="103"/>
        <v/>
      </c>
      <c r="R81" s="145" t="str">
        <f t="shared" si="103"/>
        <v/>
      </c>
      <c r="S81" s="145" t="str">
        <f t="shared" si="103"/>
        <v/>
      </c>
      <c r="T81" s="145" t="str">
        <f t="shared" si="103"/>
        <v/>
      </c>
      <c r="U81" s="145" t="str">
        <f t="shared" si="103"/>
        <v/>
      </c>
    </row>
    <row r="82" spans="2:21" x14ac:dyDescent="0.25">
      <c r="B82" s="6" t="str">
        <f>"Total Distributions ("&amp;B78&amp;")"</f>
        <v>Total Distributions (Hurdle 4)</v>
      </c>
      <c r="C82" s="6"/>
      <c r="D82" s="6"/>
      <c r="E82" s="6"/>
      <c r="F82" s="145">
        <f>IF(F80="","",F80+F81)</f>
        <v>0</v>
      </c>
      <c r="G82" s="145">
        <f t="shared" ref="G82:U82" si="104">IF(G80="","",G80+G81)</f>
        <v>0</v>
      </c>
      <c r="H82" s="145">
        <f t="shared" si="104"/>
        <v>0</v>
      </c>
      <c r="I82" s="145">
        <f t="shared" si="104"/>
        <v>0</v>
      </c>
      <c r="J82" s="145">
        <f t="shared" si="104"/>
        <v>0</v>
      </c>
      <c r="K82" s="145">
        <f t="shared" si="104"/>
        <v>0</v>
      </c>
      <c r="L82" s="145">
        <f t="shared" si="104"/>
        <v>0</v>
      </c>
      <c r="M82" s="145">
        <f t="shared" si="104"/>
        <v>0</v>
      </c>
      <c r="N82" s="145">
        <f t="shared" si="104"/>
        <v>0</v>
      </c>
      <c r="O82" s="145">
        <f t="shared" si="104"/>
        <v>0</v>
      </c>
      <c r="P82" s="145">
        <f t="shared" si="104"/>
        <v>7270677.031563919</v>
      </c>
      <c r="Q82" s="145" t="str">
        <f t="shared" si="104"/>
        <v/>
      </c>
      <c r="R82" s="145" t="str">
        <f t="shared" si="104"/>
        <v/>
      </c>
      <c r="S82" s="145" t="str">
        <f t="shared" si="104"/>
        <v/>
      </c>
      <c r="T82" s="145" t="str">
        <f t="shared" si="104"/>
        <v/>
      </c>
      <c r="U82" s="145" t="str">
        <f t="shared" si="104"/>
        <v/>
      </c>
    </row>
    <row r="83" spans="2:21" x14ac:dyDescent="0.25">
      <c r="B83" s="6" t="s">
        <v>140</v>
      </c>
      <c r="C83" s="6"/>
      <c r="D83" s="6"/>
      <c r="E83" s="6"/>
      <c r="F83" s="145">
        <f>IF(F80="","",F76-F82)</f>
        <v>0</v>
      </c>
      <c r="G83" s="145">
        <f t="shared" ref="G83:U83" si="105">IF(G80="","",G76-G82)</f>
        <v>0</v>
      </c>
      <c r="H83" s="145">
        <f t="shared" si="105"/>
        <v>0</v>
      </c>
      <c r="I83" s="145">
        <f t="shared" si="105"/>
        <v>0</v>
      </c>
      <c r="J83" s="145">
        <f t="shared" si="105"/>
        <v>0</v>
      </c>
      <c r="K83" s="145">
        <f t="shared" si="105"/>
        <v>0</v>
      </c>
      <c r="L83" s="145">
        <f t="shared" si="105"/>
        <v>0</v>
      </c>
      <c r="M83" s="145">
        <f t="shared" si="105"/>
        <v>0</v>
      </c>
      <c r="N83" s="145">
        <f t="shared" si="105"/>
        <v>0</v>
      </c>
      <c r="O83" s="145">
        <f t="shared" si="105"/>
        <v>0</v>
      </c>
      <c r="P83" s="145">
        <f t="shared" si="105"/>
        <v>0</v>
      </c>
      <c r="Q83" s="145" t="str">
        <f t="shared" si="105"/>
        <v/>
      </c>
      <c r="R83" s="145" t="str">
        <f t="shared" si="105"/>
        <v/>
      </c>
      <c r="S83" s="145" t="str">
        <f t="shared" si="105"/>
        <v/>
      </c>
      <c r="T83" s="145" t="str">
        <f t="shared" si="105"/>
        <v/>
      </c>
      <c r="U83" s="145" t="str">
        <f t="shared" si="105"/>
        <v/>
      </c>
    </row>
  </sheetData>
  <conditionalFormatting sqref="B34:U46 C68:U68 B69:U76 B80:U83">
    <cfRule type="expression" dxfId="37" priority="22">
      <formula>B$42=""</formula>
    </cfRule>
  </conditionalFormatting>
  <conditionalFormatting sqref="B35:U35">
    <cfRule type="expression" dxfId="36" priority="21">
      <formula>B$42=""</formula>
    </cfRule>
  </conditionalFormatting>
  <conditionalFormatting sqref="B48:U61">
    <cfRule type="expression" dxfId="35" priority="20">
      <formula>B$42=""</formula>
    </cfRule>
  </conditionalFormatting>
  <conditionalFormatting sqref="B49:U49">
    <cfRule type="expression" dxfId="34" priority="19">
      <formula>B$42=""</formula>
    </cfRule>
  </conditionalFormatting>
  <conditionalFormatting sqref="B2:U2">
    <cfRule type="expression" dxfId="33" priority="18">
      <formula>B$42=""</formula>
    </cfRule>
  </conditionalFormatting>
  <conditionalFormatting sqref="B78:U79">
    <cfRule type="expression" dxfId="32" priority="7">
      <formula>B$42=""</formula>
    </cfRule>
  </conditionalFormatting>
  <conditionalFormatting sqref="B79:U79">
    <cfRule type="expression" dxfId="31" priority="6">
      <formula>B$42=""</formula>
    </cfRule>
  </conditionalFormatting>
  <conditionalFormatting sqref="B63:U67">
    <cfRule type="expression" dxfId="30" priority="10">
      <formula>B$42=""</formula>
    </cfRule>
  </conditionalFormatting>
  <conditionalFormatting sqref="B64:U64">
    <cfRule type="expression" dxfId="29" priority="9">
      <formula>B$42=""</formula>
    </cfRule>
  </conditionalFormatting>
  <conditionalFormatting sqref="B68">
    <cfRule type="expression" dxfId="28" priority="8">
      <formula>B$42=""</formula>
    </cfRule>
  </conditionalFormatting>
  <conditionalFormatting sqref="B29:V32">
    <cfRule type="expression" dxfId="27" priority="4">
      <formula>B$42=""</formula>
    </cfRule>
  </conditionalFormatting>
  <conditionalFormatting sqref="F14:V14">
    <cfRule type="expression" dxfId="26" priority="2">
      <formula>B$42=""</formula>
    </cfRule>
  </conditionalFormatting>
  <conditionalFormatting sqref="B14:U27">
    <cfRule type="expression" dxfId="25" priority="1">
      <formula>B$42=""</formula>
    </cfRule>
  </conditionalFormatting>
  <pageMargins left="0.7" right="0.7" top="0.75" bottom="0.75" header="0.3" footer="0.3"/>
  <pageSetup scale="35" orientation="portrait" horizontalDpi="4294967294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B2:U84"/>
  <sheetViews>
    <sheetView showGridLines="0" zoomScale="85" zoomScaleNormal="85" workbookViewId="0"/>
  </sheetViews>
  <sheetFormatPr defaultRowHeight="15" outlineLevelRow="1" x14ac:dyDescent="0.25"/>
  <cols>
    <col min="1" max="1" width="2.85546875" customWidth="1"/>
    <col min="2" max="2" width="16.85546875" customWidth="1"/>
    <col min="3" max="3" width="16.28515625" customWidth="1"/>
    <col min="4" max="4" width="16.140625" style="1" bestFit="1" customWidth="1"/>
    <col min="5" max="10" width="14.85546875" style="1" bestFit="1" customWidth="1"/>
    <col min="11" max="11" width="14.42578125" style="1" bestFit="1" customWidth="1"/>
    <col min="12" max="13" width="15.28515625" style="1" bestFit="1" customWidth="1"/>
    <col min="14" max="14" width="13" style="1" bestFit="1" customWidth="1"/>
    <col min="15" max="16" width="12.28515625" bestFit="1" customWidth="1"/>
    <col min="17" max="17" width="9.85546875" bestFit="1" customWidth="1"/>
    <col min="18" max="18" width="8.42578125" bestFit="1" customWidth="1"/>
  </cols>
  <sheetData>
    <row r="2" spans="2:20" ht="15.75" x14ac:dyDescent="0.25">
      <c r="B2" s="65" t="s">
        <v>64</v>
      </c>
      <c r="C2" s="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1"/>
      <c r="P2" s="11"/>
      <c r="Q2" s="11"/>
      <c r="R2" s="11"/>
    </row>
    <row r="3" spans="2:20" s="1" customFormat="1" x14ac:dyDescent="0.25">
      <c r="B3" s="66"/>
      <c r="C3" s="66"/>
      <c r="D3" s="67">
        <v>1</v>
      </c>
      <c r="E3" s="67">
        <f>IF(OR(D3="",D3=Analysis_Period),"",D3+1)</f>
        <v>2</v>
      </c>
      <c r="F3" s="67">
        <f t="shared" ref="F3:R3" si="0">IF(OR(E3="",E3=Cap_Year),"",E3+1)</f>
        <v>3</v>
      </c>
      <c r="G3" s="67">
        <f t="shared" si="0"/>
        <v>4</v>
      </c>
      <c r="H3" s="67">
        <f t="shared" si="0"/>
        <v>5</v>
      </c>
      <c r="I3" s="67">
        <f t="shared" si="0"/>
        <v>6</v>
      </c>
      <c r="J3" s="67">
        <f t="shared" si="0"/>
        <v>7</v>
      </c>
      <c r="K3" s="67">
        <f t="shared" si="0"/>
        <v>8</v>
      </c>
      <c r="L3" s="67">
        <f t="shared" si="0"/>
        <v>9</v>
      </c>
      <c r="M3" s="67">
        <f t="shared" si="0"/>
        <v>10</v>
      </c>
      <c r="N3" s="67">
        <f t="shared" si="0"/>
        <v>11</v>
      </c>
      <c r="O3" s="13" t="str">
        <f t="shared" si="0"/>
        <v/>
      </c>
      <c r="P3" s="13" t="str">
        <f t="shared" si="0"/>
        <v/>
      </c>
      <c r="Q3" s="13" t="str">
        <f t="shared" si="0"/>
        <v/>
      </c>
      <c r="R3" s="13" t="str">
        <f t="shared" si="0"/>
        <v/>
      </c>
      <c r="S3" s="9" t="str">
        <f>IF(OR(R3="",R3=Analysis_Period),"",R3+1)</f>
        <v/>
      </c>
      <c r="T3" s="9" t="str">
        <f>IF(OR(S3="",S3=Analysis_Period),"",S3+1)</f>
        <v/>
      </c>
    </row>
    <row r="4" spans="2:20" s="1" customFormat="1" x14ac:dyDescent="0.25">
      <c r="B4" s="126" t="s">
        <v>27</v>
      </c>
      <c r="C4" s="86" t="s">
        <v>19</v>
      </c>
      <c r="D4" s="127">
        <f>EOMONTH(Analysis_Start,11)</f>
        <v>42735</v>
      </c>
      <c r="E4" s="127">
        <f t="shared" ref="E4:R4" si="1">IF(E3="","",EOMONTH(Analysis_Start,(11*E3)+D3))</f>
        <v>43100</v>
      </c>
      <c r="F4" s="127">
        <f t="shared" si="1"/>
        <v>43465</v>
      </c>
      <c r="G4" s="127">
        <f t="shared" si="1"/>
        <v>43830</v>
      </c>
      <c r="H4" s="127">
        <f t="shared" si="1"/>
        <v>44196</v>
      </c>
      <c r="I4" s="127">
        <f t="shared" si="1"/>
        <v>44561</v>
      </c>
      <c r="J4" s="127">
        <f t="shared" si="1"/>
        <v>44926</v>
      </c>
      <c r="K4" s="127">
        <f t="shared" si="1"/>
        <v>45291</v>
      </c>
      <c r="L4" s="127">
        <f t="shared" si="1"/>
        <v>45657</v>
      </c>
      <c r="M4" s="127">
        <f t="shared" si="1"/>
        <v>46022</v>
      </c>
      <c r="N4" s="127">
        <f t="shared" si="1"/>
        <v>46387</v>
      </c>
      <c r="O4" s="127" t="str">
        <f t="shared" si="1"/>
        <v/>
      </c>
      <c r="P4" s="127" t="str">
        <f t="shared" si="1"/>
        <v/>
      </c>
      <c r="Q4" s="127" t="str">
        <f t="shared" si="1"/>
        <v/>
      </c>
      <c r="R4" s="15" t="str">
        <f t="shared" si="1"/>
        <v/>
      </c>
    </row>
    <row r="5" spans="2:20" collapsed="1" x14ac:dyDescent="0.25">
      <c r="B5" s="85" t="s">
        <v>28</v>
      </c>
      <c r="C5" s="128"/>
      <c r="D5" s="129">
        <f t="shared" ref="D5:R5" si="2">HLOOKUP(D$4,CashFlow_Table,3,FALSE)</f>
        <v>9000000</v>
      </c>
      <c r="E5" s="129">
        <f t="shared" si="2"/>
        <v>9224999.9999999981</v>
      </c>
      <c r="F5" s="129">
        <f t="shared" si="2"/>
        <v>9455624.9999999981</v>
      </c>
      <c r="G5" s="129">
        <f t="shared" si="2"/>
        <v>9692015.6249999963</v>
      </c>
      <c r="H5" s="129">
        <f t="shared" si="2"/>
        <v>9934316.0156249944</v>
      </c>
      <c r="I5" s="129">
        <f t="shared" si="2"/>
        <v>10182673.916015618</v>
      </c>
      <c r="J5" s="129">
        <f t="shared" si="2"/>
        <v>10437240.763916006</v>
      </c>
      <c r="K5" s="129">
        <f t="shared" si="2"/>
        <v>10698171.783013906</v>
      </c>
      <c r="L5" s="129">
        <f t="shared" si="2"/>
        <v>10965626.077589255</v>
      </c>
      <c r="M5" s="129">
        <f t="shared" si="2"/>
        <v>11239766.729528984</v>
      </c>
      <c r="N5" s="129" t="str">
        <f t="shared" si="2"/>
        <v/>
      </c>
      <c r="O5" s="130" t="str">
        <f t="shared" si="2"/>
        <v/>
      </c>
      <c r="P5" s="130" t="str">
        <f t="shared" si="2"/>
        <v/>
      </c>
      <c r="Q5" s="130" t="str">
        <f t="shared" si="2"/>
        <v/>
      </c>
      <c r="R5" s="33" t="str">
        <f t="shared" si="2"/>
        <v/>
      </c>
    </row>
    <row r="6" spans="2:20" x14ac:dyDescent="0.25">
      <c r="B6" s="103" t="s">
        <v>29</v>
      </c>
      <c r="C6" s="103"/>
      <c r="D6" s="131">
        <f>IF(D5="","",D7-D5)</f>
        <v>-1530000</v>
      </c>
      <c r="E6" s="131">
        <f t="shared" ref="E6:R6" si="3">IF(E5="","",E7-E5)</f>
        <v>-1568249.9999999991</v>
      </c>
      <c r="F6" s="131">
        <f t="shared" si="3"/>
        <v>-1607456.25</v>
      </c>
      <c r="G6" s="131">
        <f t="shared" si="3"/>
        <v>-1647642.6562500009</v>
      </c>
      <c r="H6" s="131">
        <f t="shared" si="3"/>
        <v>-1688833.72265625</v>
      </c>
      <c r="I6" s="131">
        <f t="shared" si="3"/>
        <v>-1731054.5657226555</v>
      </c>
      <c r="J6" s="131">
        <f t="shared" si="3"/>
        <v>-1774330.9298657198</v>
      </c>
      <c r="K6" s="131">
        <f t="shared" si="3"/>
        <v>-1818689.2031123638</v>
      </c>
      <c r="L6" s="131">
        <f t="shared" si="3"/>
        <v>-1864156.4331901744</v>
      </c>
      <c r="M6" s="131">
        <f t="shared" si="3"/>
        <v>-1910760.3440199271</v>
      </c>
      <c r="N6" s="131" t="str">
        <f t="shared" si="3"/>
        <v/>
      </c>
      <c r="O6" s="131" t="str">
        <f t="shared" si="3"/>
        <v/>
      </c>
      <c r="P6" s="131" t="str">
        <f t="shared" si="3"/>
        <v/>
      </c>
      <c r="Q6" s="131" t="str">
        <f t="shared" si="3"/>
        <v/>
      </c>
      <c r="R6" s="43" t="str">
        <f t="shared" si="3"/>
        <v/>
      </c>
    </row>
    <row r="7" spans="2:20" x14ac:dyDescent="0.25">
      <c r="B7" s="85" t="s">
        <v>30</v>
      </c>
      <c r="C7" s="103"/>
      <c r="D7" s="129">
        <f t="shared" ref="D7:R7" si="4">HLOOKUP(D$4,CashFlow_Table,4,FALSE)</f>
        <v>7470000</v>
      </c>
      <c r="E7" s="129">
        <f t="shared" si="4"/>
        <v>7656749.9999999991</v>
      </c>
      <c r="F7" s="129">
        <f t="shared" si="4"/>
        <v>7848168.7499999981</v>
      </c>
      <c r="G7" s="129">
        <f t="shared" si="4"/>
        <v>8044372.9687499953</v>
      </c>
      <c r="H7" s="129">
        <f t="shared" si="4"/>
        <v>8245482.2929687444</v>
      </c>
      <c r="I7" s="129">
        <f t="shared" si="4"/>
        <v>8451619.350292962</v>
      </c>
      <c r="J7" s="129">
        <f t="shared" si="4"/>
        <v>8662909.8340502866</v>
      </c>
      <c r="K7" s="129">
        <f t="shared" si="4"/>
        <v>8879482.5799015425</v>
      </c>
      <c r="L7" s="129">
        <f t="shared" si="4"/>
        <v>9101469.6443990804</v>
      </c>
      <c r="M7" s="129">
        <f t="shared" si="4"/>
        <v>9329006.385509057</v>
      </c>
      <c r="N7" s="129">
        <f t="shared" si="4"/>
        <v>9562231.545146782</v>
      </c>
      <c r="O7" s="129" t="str">
        <f t="shared" si="4"/>
        <v/>
      </c>
      <c r="P7" s="129" t="str">
        <f t="shared" si="4"/>
        <v/>
      </c>
      <c r="Q7" s="129" t="str">
        <f t="shared" si="4"/>
        <v/>
      </c>
      <c r="R7" s="42" t="str">
        <f t="shared" si="4"/>
        <v/>
      </c>
    </row>
    <row r="8" spans="2:20" x14ac:dyDescent="0.25">
      <c r="B8" s="103" t="s">
        <v>31</v>
      </c>
      <c r="C8" s="103"/>
      <c r="D8" s="131">
        <f t="shared" ref="D8:R8" si="5">IF(D5="","",D9-D7)</f>
        <v>-1120500</v>
      </c>
      <c r="E8" s="131">
        <f t="shared" si="5"/>
        <v>-1148512.5</v>
      </c>
      <c r="F8" s="131">
        <f t="shared" si="5"/>
        <v>-1177225.3125</v>
      </c>
      <c r="G8" s="131">
        <f t="shared" si="5"/>
        <v>-1206655.9453125</v>
      </c>
      <c r="H8" s="131">
        <f t="shared" si="5"/>
        <v>-1236822.3439453114</v>
      </c>
      <c r="I8" s="131">
        <f t="shared" si="5"/>
        <v>-1267742.9025439452</v>
      </c>
      <c r="J8" s="131">
        <f t="shared" si="5"/>
        <v>-1299436.4751075432</v>
      </c>
      <c r="K8" s="131">
        <f t="shared" si="5"/>
        <v>-1331922.3869852321</v>
      </c>
      <c r="L8" s="131">
        <f t="shared" si="5"/>
        <v>-1365220.4466598621</v>
      </c>
      <c r="M8" s="131">
        <f t="shared" si="5"/>
        <v>-1399350.9578263583</v>
      </c>
      <c r="N8" s="131" t="str">
        <f t="shared" si="5"/>
        <v/>
      </c>
      <c r="O8" s="131" t="str">
        <f t="shared" si="5"/>
        <v/>
      </c>
      <c r="P8" s="131" t="str">
        <f t="shared" si="5"/>
        <v/>
      </c>
      <c r="Q8" s="131" t="str">
        <f t="shared" si="5"/>
        <v/>
      </c>
      <c r="R8" s="43" t="str">
        <f t="shared" si="5"/>
        <v/>
      </c>
    </row>
    <row r="9" spans="2:20" x14ac:dyDescent="0.25">
      <c r="B9" s="85" t="s">
        <v>32</v>
      </c>
      <c r="C9" s="132"/>
      <c r="D9" s="129">
        <f t="shared" ref="D9:R9" si="6">HLOOKUP(D$4,CashFlow_Table,5,FALSE)</f>
        <v>6349500</v>
      </c>
      <c r="E9" s="129">
        <f t="shared" si="6"/>
        <v>6508237.4999999991</v>
      </c>
      <c r="F9" s="129">
        <f t="shared" si="6"/>
        <v>6670943.4374999981</v>
      </c>
      <c r="G9" s="129">
        <f t="shared" si="6"/>
        <v>6837717.0234374953</v>
      </c>
      <c r="H9" s="129">
        <f t="shared" si="6"/>
        <v>7008659.949023433</v>
      </c>
      <c r="I9" s="129">
        <f t="shared" si="6"/>
        <v>7183876.4477490168</v>
      </c>
      <c r="J9" s="129">
        <f t="shared" si="6"/>
        <v>7363473.3589427434</v>
      </c>
      <c r="K9" s="129">
        <f t="shared" si="6"/>
        <v>7547560.1929163104</v>
      </c>
      <c r="L9" s="129">
        <f t="shared" si="6"/>
        <v>7736249.1977392184</v>
      </c>
      <c r="M9" s="129">
        <f t="shared" si="6"/>
        <v>7929655.4276826987</v>
      </c>
      <c r="N9" s="129" t="str">
        <f t="shared" si="6"/>
        <v/>
      </c>
      <c r="O9" s="129" t="str">
        <f t="shared" si="6"/>
        <v/>
      </c>
      <c r="P9" s="129" t="str">
        <f t="shared" si="6"/>
        <v/>
      </c>
      <c r="Q9" s="129" t="str">
        <f t="shared" si="6"/>
        <v/>
      </c>
      <c r="R9" s="42" t="str">
        <f t="shared" si="6"/>
        <v/>
      </c>
    </row>
    <row r="10" spans="2:20" x14ac:dyDescent="0.25">
      <c r="B10" s="6"/>
      <c r="C10" s="133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5"/>
      <c r="P10" s="135"/>
      <c r="Q10" s="135"/>
      <c r="R10" s="17"/>
    </row>
    <row r="11" spans="2:20" x14ac:dyDescent="0.25">
      <c r="B11" s="6" t="s">
        <v>33</v>
      </c>
      <c r="C11" s="133"/>
      <c r="D11" s="136">
        <f>Exit_Cap_Yr_1</f>
        <v>6.5000000000000002E-2</v>
      </c>
      <c r="E11" s="136">
        <f>IF(E5="","",D11+'Portfolio Summary'!$D$8/10000)</f>
        <v>6.5500000000000003E-2</v>
      </c>
      <c r="F11" s="136">
        <f>IF(F5="","",E11+'Portfolio Summary'!$D$8/10000)</f>
        <v>6.6000000000000003E-2</v>
      </c>
      <c r="G11" s="136">
        <f>IF(G5="","",F11+'Portfolio Summary'!$D$8/10000)</f>
        <v>6.6500000000000004E-2</v>
      </c>
      <c r="H11" s="136">
        <f>IF(H5="","",G11+'Portfolio Summary'!$D$8/10000)</f>
        <v>6.7000000000000004E-2</v>
      </c>
      <c r="I11" s="136">
        <f>IF(I5="","",H11+'Portfolio Summary'!$D$8/10000)</f>
        <v>6.7500000000000004E-2</v>
      </c>
      <c r="J11" s="136">
        <f>IF(J5="","",I11+'Portfolio Summary'!$D$8/10000)</f>
        <v>6.8000000000000005E-2</v>
      </c>
      <c r="K11" s="136">
        <f>IF(K5="","",J11+'Portfolio Summary'!$D$8/10000)</f>
        <v>6.8500000000000005E-2</v>
      </c>
      <c r="L11" s="136">
        <f>IF(L5="","",K11+'Portfolio Summary'!$D$8/10000)</f>
        <v>6.9000000000000006E-2</v>
      </c>
      <c r="M11" s="136">
        <f>IF(M5="","",L11+'Portfolio Summary'!$D$8/10000)</f>
        <v>6.9500000000000006E-2</v>
      </c>
      <c r="N11" s="136" t="str">
        <f>IF(N5="","",M11+'Portfolio Summary'!$D$8/10000)</f>
        <v/>
      </c>
      <c r="O11" s="136" t="str">
        <f>IF(O5="","",N11+'Portfolio Summary'!$D$8/10000)</f>
        <v/>
      </c>
      <c r="P11" s="136" t="str">
        <f>IF(P5="","",O11+'Portfolio Summary'!$D$8/10000)</f>
        <v/>
      </c>
      <c r="Q11" s="136" t="str">
        <f>IF(Q5="","",P11+'Portfolio Summary'!$D$8/10000)</f>
        <v/>
      </c>
      <c r="R11" s="47" t="str">
        <f>IF(R5="","",Q11+'Portfolio Summary'!$D$8/10000)</f>
        <v/>
      </c>
    </row>
    <row r="12" spans="2:20" x14ac:dyDescent="0.25">
      <c r="B12" s="6" t="s">
        <v>34</v>
      </c>
      <c r="C12" s="133"/>
      <c r="D12" s="137">
        <f t="shared" ref="D12:R12" si="7">IFERROR(HLOOKUP(Cap_Year-Analysis_Period+D3,$D$3:$R$9,5,FALSE)/D11,"")</f>
        <v>117796153.84615383</v>
      </c>
      <c r="E12" s="137">
        <f t="shared" si="7"/>
        <v>119819370.2290076</v>
      </c>
      <c r="F12" s="137">
        <f t="shared" si="7"/>
        <v>121884438.92045447</v>
      </c>
      <c r="G12" s="137">
        <f t="shared" si="7"/>
        <v>123992214.9318608</v>
      </c>
      <c r="H12" s="137">
        <f t="shared" si="7"/>
        <v>126143572.39243226</v>
      </c>
      <c r="I12" s="137">
        <f t="shared" si="7"/>
        <v>128339404.94889313</v>
      </c>
      <c r="J12" s="137">
        <f t="shared" si="7"/>
        <v>130580626.17502268</v>
      </c>
      <c r="K12" s="137">
        <f t="shared" si="7"/>
        <v>132868169.99122745</v>
      </c>
      <c r="L12" s="137">
        <f t="shared" si="7"/>
        <v>135202991.09433416</v>
      </c>
      <c r="M12" s="137">
        <f t="shared" si="7"/>
        <v>137586065.39779541</v>
      </c>
      <c r="N12" s="137" t="str">
        <f t="shared" si="7"/>
        <v/>
      </c>
      <c r="O12" s="137" t="str">
        <f t="shared" si="7"/>
        <v/>
      </c>
      <c r="P12" s="137" t="str">
        <f t="shared" si="7"/>
        <v/>
      </c>
      <c r="Q12" s="137" t="str">
        <f t="shared" si="7"/>
        <v/>
      </c>
      <c r="R12" s="48" t="str">
        <f t="shared" si="7"/>
        <v/>
      </c>
    </row>
    <row r="13" spans="2:20" x14ac:dyDescent="0.25">
      <c r="B13" s="6" t="s">
        <v>35</v>
      </c>
      <c r="C13" s="132"/>
      <c r="D13" s="138">
        <f t="shared" ref="D13:R13" si="8">IFERROR(D12/Portfolio_SF,"")</f>
        <v>336.56043956043948</v>
      </c>
      <c r="E13" s="138">
        <f t="shared" si="8"/>
        <v>342.34105779716458</v>
      </c>
      <c r="F13" s="138">
        <f t="shared" si="8"/>
        <v>348.24125405844137</v>
      </c>
      <c r="G13" s="138">
        <f t="shared" si="8"/>
        <v>354.26347123388803</v>
      </c>
      <c r="H13" s="138">
        <f t="shared" si="8"/>
        <v>360.41020683552074</v>
      </c>
      <c r="I13" s="138">
        <f t="shared" si="8"/>
        <v>366.68401413969468</v>
      </c>
      <c r="J13" s="138">
        <f t="shared" si="8"/>
        <v>373.08750335720765</v>
      </c>
      <c r="K13" s="138">
        <f t="shared" si="8"/>
        <v>379.62334283207844</v>
      </c>
      <c r="L13" s="138">
        <f t="shared" si="8"/>
        <v>386.29426026952615</v>
      </c>
      <c r="M13" s="138">
        <f t="shared" si="8"/>
        <v>393.10304399370119</v>
      </c>
      <c r="N13" s="138" t="str">
        <f t="shared" si="8"/>
        <v/>
      </c>
      <c r="O13" s="138" t="str">
        <f t="shared" si="8"/>
        <v/>
      </c>
      <c r="P13" s="138" t="str">
        <f t="shared" si="8"/>
        <v/>
      </c>
      <c r="Q13" s="138" t="str">
        <f t="shared" si="8"/>
        <v/>
      </c>
      <c r="R13" s="49" t="str">
        <f t="shared" si="8"/>
        <v/>
      </c>
    </row>
    <row r="14" spans="2:20" x14ac:dyDescent="0.25">
      <c r="B14" s="6"/>
      <c r="C14" s="133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5"/>
      <c r="P14" s="135"/>
      <c r="Q14" s="135"/>
      <c r="R14" s="17"/>
    </row>
    <row r="15" spans="2:20" x14ac:dyDescent="0.25">
      <c r="B15" s="6" t="s">
        <v>40</v>
      </c>
      <c r="C15" s="133"/>
      <c r="D15" s="137">
        <f>D9</f>
        <v>6349500</v>
      </c>
      <c r="E15" s="137">
        <f t="shared" ref="E15:R15" si="9">E9</f>
        <v>6508237.4999999991</v>
      </c>
      <c r="F15" s="137">
        <f t="shared" si="9"/>
        <v>6670943.4374999981</v>
      </c>
      <c r="G15" s="137">
        <f t="shared" si="9"/>
        <v>6837717.0234374953</v>
      </c>
      <c r="H15" s="137">
        <f t="shared" si="9"/>
        <v>7008659.949023433</v>
      </c>
      <c r="I15" s="137">
        <f t="shared" si="9"/>
        <v>7183876.4477490168</v>
      </c>
      <c r="J15" s="137">
        <f t="shared" si="9"/>
        <v>7363473.3589427434</v>
      </c>
      <c r="K15" s="137">
        <f t="shared" si="9"/>
        <v>7547560.1929163104</v>
      </c>
      <c r="L15" s="137">
        <f t="shared" si="9"/>
        <v>7736249.1977392184</v>
      </c>
      <c r="M15" s="137">
        <f t="shared" si="9"/>
        <v>7929655.4276826987</v>
      </c>
      <c r="N15" s="137" t="str">
        <f t="shared" si="9"/>
        <v/>
      </c>
      <c r="O15" s="137" t="str">
        <f t="shared" si="9"/>
        <v/>
      </c>
      <c r="P15" s="137" t="str">
        <f t="shared" si="9"/>
        <v/>
      </c>
      <c r="Q15" s="137" t="str">
        <f t="shared" si="9"/>
        <v/>
      </c>
      <c r="R15" s="48" t="str">
        <f t="shared" si="9"/>
        <v/>
      </c>
    </row>
    <row r="16" spans="2:20" x14ac:dyDescent="0.25">
      <c r="B16" s="6" t="s">
        <v>36</v>
      </c>
      <c r="C16" s="133"/>
      <c r="D16" s="136">
        <f>IF(D9="","",D9/(-D48))</f>
        <v>6.4593082400813837E-2</v>
      </c>
      <c r="E16" s="136">
        <f t="shared" ref="E16:R16" si="10">IF(E9="","",E9/(-E48))</f>
        <v>6.6207909460834172E-2</v>
      </c>
      <c r="F16" s="136">
        <f t="shared" si="10"/>
        <v>6.7863107197355013E-2</v>
      </c>
      <c r="G16" s="136">
        <f t="shared" si="10"/>
        <v>6.9559684877288863E-2</v>
      </c>
      <c r="H16" s="136">
        <f t="shared" si="10"/>
        <v>7.1298676999221086E-2</v>
      </c>
      <c r="I16" s="136">
        <f t="shared" si="10"/>
        <v>7.3081143924201591E-2</v>
      </c>
      <c r="J16" s="136">
        <f t="shared" si="10"/>
        <v>7.4908172522306651E-2</v>
      </c>
      <c r="K16" s="136">
        <f t="shared" si="10"/>
        <v>7.6780876835364303E-2</v>
      </c>
      <c r="L16" s="136">
        <f t="shared" si="10"/>
        <v>7.8700398756248402E-2</v>
      </c>
      <c r="M16" s="136">
        <f t="shared" si="10"/>
        <v>8.0667908725154613E-2</v>
      </c>
      <c r="N16" s="136" t="str">
        <f t="shared" si="10"/>
        <v/>
      </c>
      <c r="O16" s="136" t="str">
        <f t="shared" si="10"/>
        <v/>
      </c>
      <c r="P16" s="136" t="str">
        <f t="shared" si="10"/>
        <v/>
      </c>
      <c r="Q16" s="136" t="str">
        <f t="shared" si="10"/>
        <v/>
      </c>
      <c r="R16" s="47" t="str">
        <f t="shared" si="10"/>
        <v/>
      </c>
    </row>
    <row r="17" spans="2:19" x14ac:dyDescent="0.25">
      <c r="B17" s="103" t="s">
        <v>37</v>
      </c>
      <c r="C17" s="133"/>
      <c r="D17" s="136">
        <f>IF(D16="","",AVERAGE($D$16:D16))</f>
        <v>6.4593082400813837E-2</v>
      </c>
      <c r="E17" s="136">
        <f>IF(E16="","",AVERAGE($D$16:E16))</f>
        <v>6.5400495930824004E-2</v>
      </c>
      <c r="F17" s="136">
        <f>IF(F16="","",AVERAGE($D$16:F16))</f>
        <v>6.6221366353001007E-2</v>
      </c>
      <c r="G17" s="136">
        <f>IF(G16="","",AVERAGE($D$16:G16))</f>
        <v>6.7055945984072968E-2</v>
      </c>
      <c r="H17" s="136">
        <f>IF(H16="","",AVERAGE($D$16:H16))</f>
        <v>6.7904492187102594E-2</v>
      </c>
      <c r="I17" s="136">
        <f>IF(I16="","",AVERAGE($D$16:I16))</f>
        <v>6.8767267476619098E-2</v>
      </c>
      <c r="J17" s="136">
        <f>IF(J16="","",AVERAGE($D$16:J16))</f>
        <v>6.9644539626003032E-2</v>
      </c>
      <c r="K17" s="136">
        <f>IF(K16="","",AVERAGE($D$16:K16))</f>
        <v>7.0536581777173188E-2</v>
      </c>
      <c r="L17" s="136">
        <f>IF(L16="","",AVERAGE($D$16:L16))</f>
        <v>7.1443672552625986E-2</v>
      </c>
      <c r="M17" s="136">
        <f>IF(M16="","",AVERAGE($D$16:M16))</f>
        <v>7.2366096169878852E-2</v>
      </c>
      <c r="N17" s="136" t="str">
        <f>IF(N16="","",AVERAGE($D$16:N16))</f>
        <v/>
      </c>
      <c r="O17" s="136" t="str">
        <f>IF(O16="","",AVERAGE($D$16:O16))</f>
        <v/>
      </c>
      <c r="P17" s="136" t="str">
        <f>IF(P16="","",AVERAGE($D$16:P16))</f>
        <v/>
      </c>
      <c r="Q17" s="136" t="str">
        <f>IF(Q16="","",AVERAGE($D$16:Q16))</f>
        <v/>
      </c>
      <c r="R17" s="47" t="str">
        <f>IF(R16="","",AVERAGE($D$16:R16))</f>
        <v/>
      </c>
    </row>
    <row r="18" spans="2:19" s="61" customFormat="1" x14ac:dyDescent="0.25">
      <c r="B18" s="139" t="s">
        <v>69</v>
      </c>
      <c r="C18" s="140"/>
      <c r="D18" s="141">
        <f t="shared" ref="D18:R18" si="11">IF(D3=Analysis_Period,D12+D15,D15)</f>
        <v>6349500</v>
      </c>
      <c r="E18" s="141">
        <f t="shared" si="11"/>
        <v>6508237.4999999991</v>
      </c>
      <c r="F18" s="141">
        <f t="shared" si="11"/>
        <v>6670943.4374999981</v>
      </c>
      <c r="G18" s="141">
        <f t="shared" si="11"/>
        <v>6837717.0234374953</v>
      </c>
      <c r="H18" s="141">
        <f t="shared" si="11"/>
        <v>7008659.949023433</v>
      </c>
      <c r="I18" s="141">
        <f t="shared" si="11"/>
        <v>7183876.4477490168</v>
      </c>
      <c r="J18" s="141">
        <f t="shared" si="11"/>
        <v>7363473.3589427434</v>
      </c>
      <c r="K18" s="141">
        <f t="shared" si="11"/>
        <v>7547560.1929163104</v>
      </c>
      <c r="L18" s="141">
        <f t="shared" si="11"/>
        <v>7736249.1977392184</v>
      </c>
      <c r="M18" s="141">
        <f t="shared" si="11"/>
        <v>145515720.82547811</v>
      </c>
      <c r="N18" s="141" t="str">
        <f t="shared" si="11"/>
        <v/>
      </c>
      <c r="O18" s="141" t="str">
        <f t="shared" si="11"/>
        <v/>
      </c>
      <c r="P18" s="141" t="str">
        <f t="shared" si="11"/>
        <v/>
      </c>
      <c r="Q18" s="141" t="str">
        <f t="shared" si="11"/>
        <v/>
      </c>
      <c r="R18" s="73" t="str">
        <f t="shared" si="11"/>
        <v/>
      </c>
      <c r="S18" s="73"/>
    </row>
    <row r="19" spans="2:19" x14ac:dyDescent="0.25">
      <c r="B19" s="6"/>
      <c r="C19" s="133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5"/>
      <c r="P19" s="135"/>
      <c r="Q19" s="135"/>
      <c r="R19" s="17"/>
    </row>
    <row r="20" spans="2:19" x14ac:dyDescent="0.25">
      <c r="B20" s="6" t="s">
        <v>41</v>
      </c>
      <c r="C20" s="132"/>
      <c r="D20" s="136">
        <f ca="1">D47</f>
        <v>0.26292628531183926</v>
      </c>
      <c r="E20" s="136">
        <f t="shared" ref="E20:R20" ca="1" si="12">E47</f>
        <v>0.16638923484321211</v>
      </c>
      <c r="F20" s="136">
        <f t="shared" ca="1" si="12"/>
        <v>0.13609621404497196</v>
      </c>
      <c r="G20" s="136">
        <f t="shared" ca="1" si="12"/>
        <v>0.1213948531034883</v>
      </c>
      <c r="H20" s="136">
        <f t="shared" ca="1" si="12"/>
        <v>0.11277932629006004</v>
      </c>
      <c r="I20" s="136">
        <f t="shared" ca="1" si="12"/>
        <v>0.10716393012799674</v>
      </c>
      <c r="J20" s="136">
        <f t="shared" ca="1" si="12"/>
        <v>0.10324611901556957</v>
      </c>
      <c r="K20" s="136">
        <f t="shared" ca="1" si="12"/>
        <v>0.10038106570089633</v>
      </c>
      <c r="L20" s="136">
        <f t="shared" ca="1" si="12"/>
        <v>9.8213053651713844E-2</v>
      </c>
      <c r="M20" s="136">
        <f t="shared" ca="1" si="12"/>
        <v>9.6529777558214569E-2</v>
      </c>
      <c r="N20" s="136" t="str">
        <f t="shared" si="12"/>
        <v/>
      </c>
      <c r="O20" s="136" t="str">
        <f t="shared" si="12"/>
        <v/>
      </c>
      <c r="P20" s="136" t="str">
        <f t="shared" si="12"/>
        <v/>
      </c>
      <c r="Q20" s="136" t="str">
        <f t="shared" si="12"/>
        <v/>
      </c>
      <c r="R20" s="47" t="str">
        <f t="shared" si="12"/>
        <v/>
      </c>
    </row>
    <row r="21" spans="2:19" x14ac:dyDescent="0.25">
      <c r="B21" s="6" t="s">
        <v>50</v>
      </c>
      <c r="C21" s="133"/>
      <c r="D21" s="142">
        <f>IFERROR((SUMIF($D$15:D15,"&gt;0")+D12)/(-D48),"")</f>
        <v>1.2629262853118395</v>
      </c>
      <c r="E21" s="142">
        <f>IFERROR((SUMIF($D$15:E15,"&gt;0")+E12)/(-E48),"")</f>
        <v>1.3497162536012981</v>
      </c>
      <c r="F21" s="142">
        <f>IFERROR((SUMIF($D$15:F15,"&gt;0")+F12)/(-F48),"")</f>
        <v>1.438587180650605</v>
      </c>
      <c r="G21" s="142">
        <f>IFERROR((SUMIF($D$15:G15,"&gt;0")+G12)/(-G48),"")</f>
        <v>1.5295891443824854</v>
      </c>
      <c r="H21" s="142">
        <f>IFERROR((SUMIF($D$15:H15,"&gt;0")+H12)/(-H48),"")</f>
        <v>1.6227734517028809</v>
      </c>
      <c r="I21" s="142">
        <f>IFERROR((SUMIF($D$15:I15,"&gt;0")+I12)/(-I48),"")</f>
        <v>1.7181926684293294</v>
      </c>
      <c r="J21" s="142">
        <f>IFERROR((SUMIF($D$15:J15,"&gt;0")+J12)/(-J48),"")</f>
        <v>1.8159006499661785</v>
      </c>
      <c r="K21" s="142">
        <f>IFERROR((SUMIF($D$15:K15,"&gt;0")+K12)/(-K48),"")</f>
        <v>1.9159525727446229</v>
      </c>
      <c r="L21" s="142">
        <f>IFERROR((SUMIF($D$15:L15,"&gt;0")+L12)/(-L48),"")</f>
        <v>2.0184049664460062</v>
      </c>
      <c r="M21" s="142">
        <f>IFERROR((SUMIF($D$15:M15,"&gt;0")+M12)/(-M48),"")</f>
        <v>2.1233157470273278</v>
      </c>
      <c r="N21" s="142" t="str">
        <f>IFERROR((SUMIF($D$15:N15,"&gt;0")+N12)/(-N48),"")</f>
        <v/>
      </c>
      <c r="O21" s="142" t="str">
        <f>IFERROR((SUMIF($D$15:O15,"&gt;0")+O12)/(-O48),"")</f>
        <v/>
      </c>
      <c r="P21" s="142" t="str">
        <f>IFERROR((SUMIF($D$15:P15,"&gt;0")+P12)/(-P48),"")</f>
        <v/>
      </c>
      <c r="Q21" s="142" t="str">
        <f>IFERROR((SUMIF($D$15:Q15,"&gt;0")+Q12)/(-Q48),"")</f>
        <v/>
      </c>
      <c r="R21" s="57" t="str">
        <f>IFERROR((SUMIF($D$15:R15,"&gt;0")+R12)/(-R48),"")</f>
        <v/>
      </c>
    </row>
    <row r="22" spans="2:19" x14ac:dyDescent="0.25">
      <c r="B22" s="6"/>
      <c r="C22" s="133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5"/>
      <c r="P22" s="135"/>
      <c r="Q22" s="135"/>
      <c r="R22" s="17"/>
    </row>
    <row r="23" spans="2:19" x14ac:dyDescent="0.25">
      <c r="B23" s="6" t="s">
        <v>42</v>
      </c>
      <c r="C23" s="133"/>
      <c r="D23" s="136">
        <f ca="1">IFERROR(D17/D20,"")</f>
        <v>0.24566993111473928</v>
      </c>
      <c r="E23" s="136">
        <f t="shared" ref="E23:R23" ca="1" si="13">IFERROR(E17/E20,"")</f>
        <v>0.3930572551310223</v>
      </c>
      <c r="F23" s="136">
        <f t="shared" ca="1" si="13"/>
        <v>0.48657757908767879</v>
      </c>
      <c r="G23" s="136">
        <f t="shared" ca="1" si="13"/>
        <v>0.55237882224634538</v>
      </c>
      <c r="H23" s="136">
        <f t="shared" ca="1" si="13"/>
        <v>0.60210053048603329</v>
      </c>
      <c r="I23" s="136">
        <f t="shared" ca="1" si="13"/>
        <v>0.64170161914072565</v>
      </c>
      <c r="J23" s="136">
        <f t="shared" ca="1" si="13"/>
        <v>0.67454874129942455</v>
      </c>
      <c r="K23" s="136">
        <f t="shared" ca="1" si="13"/>
        <v>0.70268811438354106</v>
      </c>
      <c r="L23" s="136">
        <f t="shared" ca="1" si="13"/>
        <v>0.72743560958792441</v>
      </c>
      <c r="M23" s="136">
        <f t="shared" ca="1" si="13"/>
        <v>0.74967640038574379</v>
      </c>
      <c r="N23" s="136" t="str">
        <f t="shared" si="13"/>
        <v/>
      </c>
      <c r="O23" s="136" t="str">
        <f t="shared" si="13"/>
        <v/>
      </c>
      <c r="P23" s="136" t="str">
        <f t="shared" si="13"/>
        <v/>
      </c>
      <c r="Q23" s="136" t="str">
        <f t="shared" si="13"/>
        <v/>
      </c>
      <c r="R23" s="47" t="str">
        <f t="shared" si="13"/>
        <v/>
      </c>
    </row>
    <row r="24" spans="2:19" x14ac:dyDescent="0.25">
      <c r="B24" s="6" t="s">
        <v>43</v>
      </c>
      <c r="C24" s="133"/>
      <c r="D24" s="136">
        <f ca="1">IFERROR(1-D23,"")</f>
        <v>0.75433006888526077</v>
      </c>
      <c r="E24" s="136">
        <f t="shared" ref="E24:R24" ca="1" si="14">IFERROR(1-E23,"")</f>
        <v>0.6069427448689777</v>
      </c>
      <c r="F24" s="136">
        <f t="shared" ca="1" si="14"/>
        <v>0.51342242091232126</v>
      </c>
      <c r="G24" s="136">
        <f t="shared" ca="1" si="14"/>
        <v>0.44762117775365462</v>
      </c>
      <c r="H24" s="136">
        <f t="shared" ca="1" si="14"/>
        <v>0.39789946951396671</v>
      </c>
      <c r="I24" s="136">
        <f t="shared" ca="1" si="14"/>
        <v>0.35829838085927435</v>
      </c>
      <c r="J24" s="136">
        <f t="shared" ca="1" si="14"/>
        <v>0.32545125870057545</v>
      </c>
      <c r="K24" s="136">
        <f t="shared" ca="1" si="14"/>
        <v>0.29731188561645894</v>
      </c>
      <c r="L24" s="136">
        <f t="shared" ca="1" si="14"/>
        <v>0.27256439041207559</v>
      </c>
      <c r="M24" s="136">
        <f t="shared" ca="1" si="14"/>
        <v>0.25032359961425621</v>
      </c>
      <c r="N24" s="136" t="str">
        <f t="shared" si="14"/>
        <v/>
      </c>
      <c r="O24" s="136" t="str">
        <f t="shared" si="14"/>
        <v/>
      </c>
      <c r="P24" s="136" t="str">
        <f t="shared" si="14"/>
        <v/>
      </c>
      <c r="Q24" s="136" t="str">
        <f t="shared" si="14"/>
        <v/>
      </c>
      <c r="R24" s="47" t="str">
        <f t="shared" si="14"/>
        <v/>
      </c>
    </row>
    <row r="25" spans="2:19" collapsed="1" x14ac:dyDescent="0.25">
      <c r="B25" s="6"/>
      <c r="C25" s="132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4" t="e">
        <f>#REF!</f>
        <v>#REF!</v>
      </c>
      <c r="P25" s="144" t="e">
        <f>#REF!</f>
        <v>#REF!</v>
      </c>
      <c r="Q25" s="144" t="e">
        <f>#REF!</f>
        <v>#REF!</v>
      </c>
      <c r="R25" s="36" t="e">
        <f>#REF!</f>
        <v>#REF!</v>
      </c>
    </row>
    <row r="26" spans="2:19" x14ac:dyDescent="0.25">
      <c r="B26" s="6" t="s">
        <v>44</v>
      </c>
      <c r="C26" s="133"/>
      <c r="D26" s="137">
        <f>Debt!D6</f>
        <v>2302220.1346119512</v>
      </c>
      <c r="E26" s="137">
        <f>Debt!E6</f>
        <v>2302220.1346119512</v>
      </c>
      <c r="F26" s="137">
        <f>Debt!F6</f>
        <v>2302220.1346119512</v>
      </c>
      <c r="G26" s="137">
        <f>Debt!G6</f>
        <v>3045032.017119823</v>
      </c>
      <c r="H26" s="137">
        <f>Debt!H6</f>
        <v>3045032.017119823</v>
      </c>
      <c r="I26" s="137">
        <f>Debt!I6</f>
        <v>3045032.017119823</v>
      </c>
      <c r="J26" s="137">
        <f>Debt!J6</f>
        <v>3045032.017119823</v>
      </c>
      <c r="K26" s="137">
        <f>Debt!K6</f>
        <v>3045032.017119823</v>
      </c>
      <c r="L26" s="137">
        <f>Debt!L6</f>
        <v>3045032.017119823</v>
      </c>
      <c r="M26" s="137">
        <f>Debt!M6</f>
        <v>3045032.017119823</v>
      </c>
      <c r="N26" s="137" t="str">
        <f>Debt!N6</f>
        <v/>
      </c>
      <c r="O26" s="137" t="str">
        <f>Debt!O6</f>
        <v/>
      </c>
      <c r="P26" s="137" t="str">
        <f>Debt!P6</f>
        <v/>
      </c>
      <c r="Q26" s="137" t="str">
        <f>Debt!Q6</f>
        <v/>
      </c>
      <c r="R26" s="48" t="str">
        <f>Debt!R6</f>
        <v/>
      </c>
    </row>
    <row r="27" spans="2:19" x14ac:dyDescent="0.25">
      <c r="B27" s="6" t="s">
        <v>45</v>
      </c>
      <c r="C27" s="133"/>
      <c r="D27" s="142">
        <f>IFERROR(D7/D26,"")</f>
        <v>3.2446940619164986</v>
      </c>
      <c r="E27" s="142">
        <f t="shared" ref="E27:R27" si="15">IFERROR(E7/E26,"")</f>
        <v>3.3258114134644106</v>
      </c>
      <c r="F27" s="142">
        <f t="shared" si="15"/>
        <v>3.4089566988010205</v>
      </c>
      <c r="G27" s="142">
        <f t="shared" si="15"/>
        <v>2.6418024255649217</v>
      </c>
      <c r="H27" s="142">
        <f t="shared" si="15"/>
        <v>2.7078474862040447</v>
      </c>
      <c r="I27" s="142">
        <f t="shared" si="15"/>
        <v>2.7755436733591456</v>
      </c>
      <c r="J27" s="142">
        <f t="shared" si="15"/>
        <v>2.8449322651931244</v>
      </c>
      <c r="K27" s="142">
        <f t="shared" si="15"/>
        <v>2.9160555718229522</v>
      </c>
      <c r="L27" s="142">
        <f t="shared" si="15"/>
        <v>2.9889569611185256</v>
      </c>
      <c r="M27" s="142">
        <f t="shared" si="15"/>
        <v>3.0636808851464887</v>
      </c>
      <c r="N27" s="142" t="str">
        <f t="shared" si="15"/>
        <v/>
      </c>
      <c r="O27" s="142" t="str">
        <f t="shared" si="15"/>
        <v/>
      </c>
      <c r="P27" s="142" t="str">
        <f t="shared" si="15"/>
        <v/>
      </c>
      <c r="Q27" s="142" t="str">
        <f t="shared" si="15"/>
        <v/>
      </c>
      <c r="R27" s="57" t="str">
        <f t="shared" si="15"/>
        <v/>
      </c>
    </row>
    <row r="28" spans="2:19" x14ac:dyDescent="0.25">
      <c r="B28" s="6" t="s">
        <v>89</v>
      </c>
      <c r="C28" s="133"/>
      <c r="D28" s="136">
        <f>IFERROR(D7/D29,"")</f>
        <v>0.15609716270507284</v>
      </c>
      <c r="E28" s="136">
        <f t="shared" ref="E28:R28" si="16">IFERROR(E7/E29,"")</f>
        <v>0.16050894405082552</v>
      </c>
      <c r="F28" s="136">
        <f t="shared" si="16"/>
        <v>0.16507130681211243</v>
      </c>
      <c r="G28" s="136">
        <f t="shared" si="16"/>
        <v>0.17255325708675756</v>
      </c>
      <c r="H28" s="136">
        <f t="shared" si="16"/>
        <v>0.18061314938399442</v>
      </c>
      <c r="I28" s="136">
        <f t="shared" si="16"/>
        <v>0.18932255966421707</v>
      </c>
      <c r="J28" s="136">
        <f t="shared" si="16"/>
        <v>0.19876552042952364</v>
      </c>
      <c r="K28" s="136">
        <f t="shared" si="16"/>
        <v>0.20904135264363327</v>
      </c>
      <c r="L28" s="136">
        <f t="shared" si="16"/>
        <v>0.22026830676913481</v>
      </c>
      <c r="M28" s="136">
        <f t="shared" si="16"/>
        <v>0.23258829611099677</v>
      </c>
      <c r="N28" s="136" t="str">
        <f t="shared" si="16"/>
        <v/>
      </c>
      <c r="O28" s="136" t="str">
        <f t="shared" si="16"/>
        <v/>
      </c>
      <c r="P28" s="136" t="str">
        <f t="shared" si="16"/>
        <v/>
      </c>
      <c r="Q28" s="136" t="str">
        <f t="shared" si="16"/>
        <v/>
      </c>
      <c r="R28" s="47" t="str">
        <f t="shared" si="16"/>
        <v/>
      </c>
    </row>
    <row r="29" spans="2:19" x14ac:dyDescent="0.25">
      <c r="B29" s="6" t="s">
        <v>52</v>
      </c>
      <c r="C29" s="133"/>
      <c r="D29" s="137">
        <f>Debt!D7</f>
        <v>47854809.597748309</v>
      </c>
      <c r="E29" s="137">
        <f>Debt!E7</f>
        <v>47702949.173819691</v>
      </c>
      <c r="F29" s="137">
        <f>Debt!F7</f>
        <v>47544112.308585197</v>
      </c>
      <c r="G29" s="137">
        <f>Debt!G7</f>
        <v>46619652.996207356</v>
      </c>
      <c r="H29" s="137">
        <f>Debt!H7</f>
        <v>45652724.184762165</v>
      </c>
      <c r="I29" s="137">
        <f>Debt!I7</f>
        <v>44641374.832892463</v>
      </c>
      <c r="J29" s="137">
        <f>Debt!J7</f>
        <v>43583564.268742964</v>
      </c>
      <c r="K29" s="137">
        <f>Debt!K7</f>
        <v>42477158.072350346</v>
      </c>
      <c r="L29" s="137">
        <f>Debt!L7</f>
        <v>41319923.768871628</v>
      </c>
      <c r="M29" s="137">
        <f>Debt!M7</f>
        <v>40109526.323960125</v>
      </c>
      <c r="N29" s="137" t="str">
        <f>Debt!N7</f>
        <v/>
      </c>
      <c r="O29" s="137" t="str">
        <f>Debt!O7</f>
        <v/>
      </c>
      <c r="P29" s="137" t="str">
        <f>Debt!P7</f>
        <v/>
      </c>
      <c r="Q29" s="137" t="str">
        <f>Debt!Q7</f>
        <v/>
      </c>
      <c r="R29" s="48" t="str">
        <f>Debt!R7</f>
        <v/>
      </c>
    </row>
    <row r="30" spans="2:19" x14ac:dyDescent="0.25">
      <c r="B30" s="6"/>
      <c r="C30" s="133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48"/>
    </row>
    <row r="31" spans="2:19" x14ac:dyDescent="0.25">
      <c r="B31" s="6" t="s">
        <v>58</v>
      </c>
      <c r="C31" s="133"/>
      <c r="D31" s="137">
        <f>IFERROR(D12-D29,"")</f>
        <v>69941344.248405516</v>
      </c>
      <c r="E31" s="137">
        <f t="shared" ref="E31:R31" si="17">IFERROR(E12-E29,"")</f>
        <v>72116421.055187911</v>
      </c>
      <c r="F31" s="137">
        <f t="shared" si="17"/>
        <v>74340326.611869276</v>
      </c>
      <c r="G31" s="137">
        <f t="shared" si="17"/>
        <v>77372561.935653448</v>
      </c>
      <c r="H31" s="137">
        <f t="shared" si="17"/>
        <v>80490848.207670093</v>
      </c>
      <c r="I31" s="137">
        <f t="shared" si="17"/>
        <v>83698030.116000667</v>
      </c>
      <c r="J31" s="137">
        <f t="shared" si="17"/>
        <v>86997061.906279713</v>
      </c>
      <c r="K31" s="137">
        <f t="shared" si="17"/>
        <v>90391011.918877095</v>
      </c>
      <c r="L31" s="137">
        <f t="shared" si="17"/>
        <v>93883067.32546252</v>
      </c>
      <c r="M31" s="137">
        <f t="shared" si="17"/>
        <v>97476539.073835284</v>
      </c>
      <c r="N31" s="137" t="str">
        <f t="shared" si="17"/>
        <v/>
      </c>
      <c r="O31" s="137" t="str">
        <f t="shared" si="17"/>
        <v/>
      </c>
      <c r="P31" s="137" t="str">
        <f t="shared" si="17"/>
        <v/>
      </c>
      <c r="Q31" s="137" t="str">
        <f t="shared" si="17"/>
        <v/>
      </c>
      <c r="R31" s="48" t="str">
        <f t="shared" si="17"/>
        <v/>
      </c>
    </row>
    <row r="32" spans="2:19" x14ac:dyDescent="0.25">
      <c r="B32" s="103" t="s">
        <v>67</v>
      </c>
      <c r="C32" s="133"/>
      <c r="D32" s="137">
        <f>IFERROR(D31-(-D68),"")</f>
        <v>19161344.248405516</v>
      </c>
      <c r="E32" s="137">
        <f t="shared" ref="E32:R32" si="18">IFERROR(E31-(-E68),"")</f>
        <v>21336421.055187911</v>
      </c>
      <c r="F32" s="137">
        <f t="shared" si="18"/>
        <v>23560326.611869276</v>
      </c>
      <c r="G32" s="137">
        <f t="shared" si="18"/>
        <v>26592561.935653448</v>
      </c>
      <c r="H32" s="137">
        <f t="shared" si="18"/>
        <v>29710848.207670093</v>
      </c>
      <c r="I32" s="137">
        <f t="shared" si="18"/>
        <v>32918030.116000667</v>
      </c>
      <c r="J32" s="137">
        <f t="shared" si="18"/>
        <v>36217061.906279713</v>
      </c>
      <c r="K32" s="137">
        <f t="shared" si="18"/>
        <v>39611011.918877095</v>
      </c>
      <c r="L32" s="137">
        <f t="shared" si="18"/>
        <v>43103067.32546252</v>
      </c>
      <c r="M32" s="137">
        <f t="shared" si="18"/>
        <v>46696539.073835284</v>
      </c>
      <c r="N32" s="137" t="str">
        <f t="shared" si="18"/>
        <v/>
      </c>
      <c r="O32" s="137" t="str">
        <f t="shared" si="18"/>
        <v/>
      </c>
      <c r="P32" s="137" t="str">
        <f t="shared" si="18"/>
        <v/>
      </c>
      <c r="Q32" s="137" t="str">
        <f t="shared" si="18"/>
        <v/>
      </c>
      <c r="R32" s="48" t="str">
        <f t="shared" si="18"/>
        <v/>
      </c>
    </row>
    <row r="33" spans="2:21" collapsed="1" x14ac:dyDescent="0.25">
      <c r="B33" s="6"/>
      <c r="C33" s="132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4" t="str">
        <f t="shared" ref="O33:R33" si="19">O35</f>
        <v/>
      </c>
      <c r="P33" s="144" t="str">
        <f t="shared" si="19"/>
        <v/>
      </c>
      <c r="Q33" s="144" t="str">
        <f t="shared" si="19"/>
        <v/>
      </c>
      <c r="R33" s="36" t="str">
        <f t="shared" si="19"/>
        <v/>
      </c>
    </row>
    <row r="34" spans="2:21" x14ac:dyDescent="0.25">
      <c r="B34" s="6" t="s">
        <v>46</v>
      </c>
      <c r="C34" s="133"/>
      <c r="D34" s="137">
        <f>IFERROR(D9-D26,"")</f>
        <v>4047279.8653880488</v>
      </c>
      <c r="E34" s="137">
        <f t="shared" ref="E34:R34" si="20">IFERROR(E9-E26,"")</f>
        <v>4206017.3653880479</v>
      </c>
      <c r="F34" s="137">
        <f t="shared" si="20"/>
        <v>4368723.302888047</v>
      </c>
      <c r="G34" s="137">
        <f t="shared" si="20"/>
        <v>3792685.0063176723</v>
      </c>
      <c r="H34" s="137">
        <f t="shared" si="20"/>
        <v>3963627.93190361</v>
      </c>
      <c r="I34" s="137">
        <f t="shared" si="20"/>
        <v>4138844.4306291938</v>
      </c>
      <c r="J34" s="137">
        <f t="shared" si="20"/>
        <v>4318441.3418229204</v>
      </c>
      <c r="K34" s="137">
        <f t="shared" si="20"/>
        <v>4502528.1757964874</v>
      </c>
      <c r="L34" s="137">
        <f t="shared" si="20"/>
        <v>4691217.1806193953</v>
      </c>
      <c r="M34" s="137">
        <f t="shared" si="20"/>
        <v>4884623.4105628757</v>
      </c>
      <c r="N34" s="137" t="str">
        <f t="shared" si="20"/>
        <v/>
      </c>
      <c r="O34" s="137" t="str">
        <f t="shared" si="20"/>
        <v/>
      </c>
      <c r="P34" s="137" t="str">
        <f t="shared" si="20"/>
        <v/>
      </c>
      <c r="Q34" s="137" t="str">
        <f t="shared" si="20"/>
        <v/>
      </c>
      <c r="R34" s="48" t="str">
        <f t="shared" si="20"/>
        <v/>
      </c>
    </row>
    <row r="35" spans="2:21" x14ac:dyDescent="0.25">
      <c r="B35" s="6" t="s">
        <v>48</v>
      </c>
      <c r="C35" s="133"/>
      <c r="D35" s="136">
        <f>IF(D34="","",D34/(-D68))</f>
        <v>7.970224232745271E-2</v>
      </c>
      <c r="E35" s="136">
        <f t="shared" ref="E35:R35" si="21">IF(E34="","",E34/(-E68))</f>
        <v>8.2828226967074592E-2</v>
      </c>
      <c r="F35" s="136">
        <f t="shared" si="21"/>
        <v>8.6032361222687023E-2</v>
      </c>
      <c r="G35" s="136">
        <f t="shared" si="21"/>
        <v>7.4688558612006156E-2</v>
      </c>
      <c r="H35" s="136">
        <f t="shared" si="21"/>
        <v>7.8054902164308979E-2</v>
      </c>
      <c r="I35" s="136">
        <f t="shared" si="21"/>
        <v>8.1505404305419332E-2</v>
      </c>
      <c r="J35" s="136">
        <f t="shared" si="21"/>
        <v>8.504216900005751E-2</v>
      </c>
      <c r="K35" s="136">
        <f t="shared" si="21"/>
        <v>8.8667352812061589E-2</v>
      </c>
      <c r="L35" s="136">
        <f t="shared" si="21"/>
        <v>9.2383166219365806E-2</v>
      </c>
      <c r="M35" s="136">
        <f t="shared" si="21"/>
        <v>9.6191874961852608E-2</v>
      </c>
      <c r="N35" s="136" t="str">
        <f t="shared" si="21"/>
        <v/>
      </c>
      <c r="O35" s="136" t="str">
        <f t="shared" si="21"/>
        <v/>
      </c>
      <c r="P35" s="136" t="str">
        <f t="shared" si="21"/>
        <v/>
      </c>
      <c r="Q35" s="136" t="str">
        <f t="shared" si="21"/>
        <v/>
      </c>
      <c r="R35" s="47" t="str">
        <f t="shared" si="21"/>
        <v/>
      </c>
    </row>
    <row r="36" spans="2:21" x14ac:dyDescent="0.25">
      <c r="B36" s="103" t="s">
        <v>47</v>
      </c>
      <c r="C36" s="133"/>
      <c r="D36" s="136">
        <f>IF(D35="","",AVERAGE($D$35:D35))</f>
        <v>7.970224232745271E-2</v>
      </c>
      <c r="E36" s="136">
        <f>IF(E35="","",AVERAGE($D$35:E35))</f>
        <v>8.1265234647263651E-2</v>
      </c>
      <c r="F36" s="136">
        <f>IF(F35="","",AVERAGE($D$35:F35))</f>
        <v>8.2854276839071442E-2</v>
      </c>
      <c r="G36" s="136">
        <f>IF(G35="","",AVERAGE($D$35:G35))</f>
        <v>8.0812847282305117E-2</v>
      </c>
      <c r="H36" s="136">
        <f>IF(H35="","",AVERAGE($D$35:H35))</f>
        <v>8.0261258258705892E-2</v>
      </c>
      <c r="I36" s="136">
        <f>IF(I35="","",AVERAGE($D$35:I35))</f>
        <v>8.0468615933158127E-2</v>
      </c>
      <c r="J36" s="136">
        <f>IF(J35="","",AVERAGE($D$35:J35))</f>
        <v>8.1121980657000908E-2</v>
      </c>
      <c r="K36" s="136">
        <f>IF(K35="","",AVERAGE($D$35:K35))</f>
        <v>8.2065152176383493E-2</v>
      </c>
      <c r="L36" s="136">
        <f>IF(L35="","",AVERAGE($D$35:L35))</f>
        <v>8.3211598181159308E-2</v>
      </c>
      <c r="M36" s="136">
        <f>IF(M35="","",AVERAGE($D$35:M35))</f>
        <v>8.4509625859228638E-2</v>
      </c>
      <c r="N36" s="136" t="str">
        <f>IF(N35="","",AVERAGE($D$35:N35))</f>
        <v/>
      </c>
      <c r="O36" s="136" t="str">
        <f>IF(O35="","",AVERAGE($D$35:O35))</f>
        <v/>
      </c>
      <c r="P36" s="136" t="str">
        <f>IF(P35="","",AVERAGE($D$35:P35))</f>
        <v/>
      </c>
      <c r="Q36" s="136" t="str">
        <f>IF(Q35="","",AVERAGE($D$35:Q35))</f>
        <v/>
      </c>
      <c r="R36" s="47" t="str">
        <f>IF(R35="","",AVERAGE($D$35:R35))</f>
        <v/>
      </c>
    </row>
    <row r="37" spans="2:21" collapsed="1" x14ac:dyDescent="0.25">
      <c r="B37" s="6"/>
      <c r="C37" s="132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4" t="str">
        <f t="shared" ref="O37:R37" si="22">O39</f>
        <v/>
      </c>
      <c r="P37" s="144" t="str">
        <f t="shared" si="22"/>
        <v/>
      </c>
      <c r="Q37" s="144" t="str">
        <f t="shared" si="22"/>
        <v/>
      </c>
      <c r="R37" s="36" t="str">
        <f t="shared" si="22"/>
        <v/>
      </c>
    </row>
    <row r="38" spans="2:21" x14ac:dyDescent="0.25">
      <c r="B38" s="6" t="s">
        <v>49</v>
      </c>
      <c r="C38" s="133"/>
      <c r="D38" s="136">
        <f ca="1">D67</f>
        <v>0.45704261744374897</v>
      </c>
      <c r="E38" s="136">
        <f t="shared" ref="E38:R38" ca="1" si="23">E67</f>
        <v>0.26646844129008906</v>
      </c>
      <c r="F38" s="136">
        <f t="shared" ca="1" si="23"/>
        <v>0.20887034269850902</v>
      </c>
      <c r="G38" s="136">
        <f t="shared" ca="1" si="23"/>
        <v>0.18123904939931856</v>
      </c>
      <c r="H38" s="136">
        <f t="shared" ca="1" si="23"/>
        <v>0.16483982075613368</v>
      </c>
      <c r="I38" s="136">
        <f t="shared" ca="1" si="23"/>
        <v>0.15397730914444341</v>
      </c>
      <c r="J38" s="136">
        <f t="shared" ca="1" si="23"/>
        <v>0.14625189455387799</v>
      </c>
      <c r="K38" s="136">
        <f t="shared" ca="1" si="23"/>
        <v>0.1404766530186774</v>
      </c>
      <c r="L38" s="136">
        <f t="shared" ca="1" si="23"/>
        <v>0.13599705227719294</v>
      </c>
      <c r="M38" s="136">
        <f t="shared" ca="1" si="23"/>
        <v>0.1324224616089904</v>
      </c>
      <c r="N38" s="136" t="str">
        <f t="shared" si="23"/>
        <v/>
      </c>
      <c r="O38" s="136" t="str">
        <f t="shared" si="23"/>
        <v/>
      </c>
      <c r="P38" s="136" t="str">
        <f t="shared" si="23"/>
        <v/>
      </c>
      <c r="Q38" s="136" t="str">
        <f t="shared" si="23"/>
        <v/>
      </c>
      <c r="R38" s="47" t="str">
        <f t="shared" si="23"/>
        <v/>
      </c>
    </row>
    <row r="39" spans="2:21" x14ac:dyDescent="0.25">
      <c r="B39" s="6" t="s">
        <v>51</v>
      </c>
      <c r="C39" s="133"/>
      <c r="D39" s="142">
        <f>IFERROR((SUMIF($D$34:D34,"&gt;0")+D31)/(-D68),"")</f>
        <v>1.4570426174437487</v>
      </c>
      <c r="E39" s="142">
        <f>IFERROR((SUMIF($D$34:E34,"&gt;0")+E31)/(-E68),"")</f>
        <v>1.5827041805034268</v>
      </c>
      <c r="F39" s="142">
        <f>IFERROR((SUMIF($D$34:F34,"&gt;0")+F31)/(-F68),"")</f>
        <v>1.7125314522554826</v>
      </c>
      <c r="G39" s="142">
        <f>IFERROR((SUMIF($D$34:G34,"&gt;0")+G31)/(-G68),"")</f>
        <v>1.8469331917218443</v>
      </c>
      <c r="H39" s="142">
        <f>IFERROR((SUMIF($D$34:H34,"&gt;0")+H31)/(-H68),"")</f>
        <v>1.9863958582031414</v>
      </c>
      <c r="I39" s="142">
        <f>IFERROR((SUMIF($D$34:I34,"&gt;0")+I31)/(-I68),"")</f>
        <v>2.1310596301401201</v>
      </c>
      <c r="J39" s="142">
        <f>IFERROR((SUMIF($D$34:J34,"&gt;0")+J31)/(-J68),"")</f>
        <v>2.2810689474323995</v>
      </c>
      <c r="K39" s="142">
        <f>IFERROR((SUMIF($D$34:K34,"&gt;0")+K31)/(-K68),"")</f>
        <v>2.4365726533873797</v>
      </c>
      <c r="L39" s="142">
        <f>IFERROR((SUMIF($D$34:L34,"&gt;0")+L31)/(-L68),"")</f>
        <v>2.5977241419105148</v>
      </c>
      <c r="M39" s="142">
        <f>IFERROR((SUMIF($D$34:M34,"&gt;0")+M31)/(-M68),"")</f>
        <v>2.764681510144773</v>
      </c>
      <c r="N39" s="142" t="str">
        <f>IFERROR((SUMIF($D$34:N34,"&gt;0")+N31)/(-N68),"")</f>
        <v/>
      </c>
      <c r="O39" s="142" t="str">
        <f>IFERROR((SUMIF($D$34:O34,"&gt;0")+O31)/(-O68),"")</f>
        <v/>
      </c>
      <c r="P39" s="142" t="str">
        <f>IFERROR((SUMIF($D$34:P34,"&gt;0")+P31)/(-P68),"")</f>
        <v/>
      </c>
      <c r="Q39" s="142" t="str">
        <f>IFERROR((SUMIF($D$34:Q34,"&gt;0")+Q31)/(-Q68),"")</f>
        <v/>
      </c>
      <c r="R39" s="57" t="str">
        <f>IFERROR((SUMIF($D$34:R34,"&gt;0")+R31)/(-R68),"")</f>
        <v/>
      </c>
    </row>
    <row r="40" spans="2:21" x14ac:dyDescent="0.25">
      <c r="B40" s="6"/>
      <c r="C40" s="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"/>
      <c r="P40" s="6"/>
      <c r="Q40" s="6"/>
    </row>
    <row r="41" spans="2:21" x14ac:dyDescent="0.25">
      <c r="B41" s="6" t="s">
        <v>130</v>
      </c>
      <c r="C41" s="6"/>
      <c r="D41" s="145">
        <f t="shared" ref="D41:R41" si="24">IF(D3=Analysis_Period,D31+D34,D34)</f>
        <v>4047279.8653880488</v>
      </c>
      <c r="E41" s="145">
        <f t="shared" si="24"/>
        <v>4206017.3653880479</v>
      </c>
      <c r="F41" s="145">
        <f t="shared" si="24"/>
        <v>4368723.302888047</v>
      </c>
      <c r="G41" s="145">
        <f t="shared" si="24"/>
        <v>3792685.0063176723</v>
      </c>
      <c r="H41" s="145">
        <f t="shared" si="24"/>
        <v>3963627.93190361</v>
      </c>
      <c r="I41" s="145">
        <f t="shared" si="24"/>
        <v>4138844.4306291938</v>
      </c>
      <c r="J41" s="145">
        <f t="shared" si="24"/>
        <v>4318441.3418229204</v>
      </c>
      <c r="K41" s="145">
        <f t="shared" si="24"/>
        <v>4502528.1757964874</v>
      </c>
      <c r="L41" s="145">
        <f t="shared" si="24"/>
        <v>4691217.1806193953</v>
      </c>
      <c r="M41" s="145">
        <f t="shared" si="24"/>
        <v>102361162.48439816</v>
      </c>
      <c r="N41" s="145" t="str">
        <f t="shared" si="24"/>
        <v/>
      </c>
      <c r="O41" s="145" t="str">
        <f t="shared" si="24"/>
        <v/>
      </c>
      <c r="P41" s="145" t="str">
        <f t="shared" si="24"/>
        <v/>
      </c>
      <c r="Q41" s="145" t="str">
        <f t="shared" si="24"/>
        <v/>
      </c>
      <c r="R41" s="145" t="str">
        <f t="shared" si="24"/>
        <v/>
      </c>
      <c r="S41" s="125"/>
    </row>
    <row r="44" spans="2:21" x14ac:dyDescent="0.25">
      <c r="B44" s="64" t="s">
        <v>63</v>
      </c>
    </row>
    <row r="45" spans="2:21" hidden="1" outlineLevel="1" x14ac:dyDescent="0.25">
      <c r="B45" s="61" t="s">
        <v>59</v>
      </c>
    </row>
    <row r="46" spans="2:21" hidden="1" outlineLevel="1" x14ac:dyDescent="0.25">
      <c r="B46" s="60" t="s">
        <v>60</v>
      </c>
      <c r="C46" s="9"/>
      <c r="D46" s="9">
        <f>IF(D5="","",D3)</f>
        <v>1</v>
      </c>
      <c r="E46" s="9">
        <f t="shared" ref="E46:R46" si="25">IF(E5="","",E3)</f>
        <v>2</v>
      </c>
      <c r="F46" s="9">
        <f t="shared" si="25"/>
        <v>3</v>
      </c>
      <c r="G46" s="9">
        <f t="shared" si="25"/>
        <v>4</v>
      </c>
      <c r="H46" s="9">
        <f t="shared" si="25"/>
        <v>5</v>
      </c>
      <c r="I46" s="9">
        <f t="shared" si="25"/>
        <v>6</v>
      </c>
      <c r="J46" s="9">
        <f t="shared" si="25"/>
        <v>7</v>
      </c>
      <c r="K46" s="9">
        <f t="shared" si="25"/>
        <v>8</v>
      </c>
      <c r="L46" s="9">
        <f t="shared" si="25"/>
        <v>9</v>
      </c>
      <c r="M46" s="9">
        <f t="shared" si="25"/>
        <v>10</v>
      </c>
      <c r="N46" s="9" t="str">
        <f t="shared" si="25"/>
        <v/>
      </c>
      <c r="O46" s="9" t="str">
        <f t="shared" si="25"/>
        <v/>
      </c>
      <c r="P46" s="9" t="str">
        <f t="shared" si="25"/>
        <v/>
      </c>
      <c r="Q46" s="9" t="str">
        <f t="shared" si="25"/>
        <v/>
      </c>
      <c r="R46" s="9" t="str">
        <f t="shared" si="25"/>
        <v/>
      </c>
      <c r="S46" s="9"/>
      <c r="T46" s="9"/>
      <c r="U46" s="9"/>
    </row>
    <row r="47" spans="2:21" hidden="1" outlineLevel="1" x14ac:dyDescent="0.25">
      <c r="B47" s="60" t="s">
        <v>61</v>
      </c>
      <c r="C47" s="9"/>
      <c r="D47" s="63">
        <f ca="1">IF(D46="","",IRR(D48:D63))</f>
        <v>0.26292628531183926</v>
      </c>
      <c r="E47" s="63">
        <f t="shared" ref="E47:R47" ca="1" si="26">IF(E46="","",IRR(E48:E63))</f>
        <v>0.16638923484321211</v>
      </c>
      <c r="F47" s="63">
        <f t="shared" ca="1" si="26"/>
        <v>0.13609621404497196</v>
      </c>
      <c r="G47" s="63">
        <f t="shared" ca="1" si="26"/>
        <v>0.1213948531034883</v>
      </c>
      <c r="H47" s="63">
        <f t="shared" ca="1" si="26"/>
        <v>0.11277932629006004</v>
      </c>
      <c r="I47" s="63">
        <f t="shared" ca="1" si="26"/>
        <v>0.10716393012799674</v>
      </c>
      <c r="J47" s="63">
        <f t="shared" ca="1" si="26"/>
        <v>0.10324611901556957</v>
      </c>
      <c r="K47" s="63">
        <f t="shared" ca="1" si="26"/>
        <v>0.10038106570089633</v>
      </c>
      <c r="L47" s="63">
        <f t="shared" ca="1" si="26"/>
        <v>9.8213053651713844E-2</v>
      </c>
      <c r="M47" s="63">
        <f t="shared" ca="1" si="26"/>
        <v>9.6529777558214569E-2</v>
      </c>
      <c r="N47" s="63" t="str">
        <f t="shared" si="26"/>
        <v/>
      </c>
      <c r="O47" s="63" t="str">
        <f t="shared" si="26"/>
        <v/>
      </c>
      <c r="P47" s="63" t="str">
        <f t="shared" si="26"/>
        <v/>
      </c>
      <c r="Q47" s="63" t="str">
        <f t="shared" si="26"/>
        <v/>
      </c>
      <c r="R47" s="63" t="str">
        <f t="shared" si="26"/>
        <v/>
      </c>
      <c r="S47" s="9"/>
      <c r="T47" s="9"/>
      <c r="U47" s="9"/>
    </row>
    <row r="48" spans="2:21" hidden="1" outlineLevel="1" x14ac:dyDescent="0.25">
      <c r="B48" s="60">
        <v>0</v>
      </c>
      <c r="D48" s="48">
        <f>IF(D46="","",-(Basis+(-SUMIF($D$15:D15,"&lt;0"))))</f>
        <v>-98300000</v>
      </c>
      <c r="E48" s="48">
        <f>IF(E46="","",-(Basis+(-SUMIF($D$15:E15,"&lt;0"))))</f>
        <v>-98300000</v>
      </c>
      <c r="F48" s="48">
        <f>IF(F46="","",-(Basis+(-SUMIF($D$15:F15,"&lt;0"))))</f>
        <v>-98300000</v>
      </c>
      <c r="G48" s="48">
        <f>IF(G46="","",-(Basis+(-SUMIF($D$15:G15,"&lt;0"))))</f>
        <v>-98300000</v>
      </c>
      <c r="H48" s="48">
        <f>IF(H46="","",-(Basis+(-SUMIF($D$15:H15,"&lt;0"))))</f>
        <v>-98300000</v>
      </c>
      <c r="I48" s="48">
        <f>IF(I46="","",-(Basis+(-SUMIF($D$15:I15,"&lt;0"))))</f>
        <v>-98300000</v>
      </c>
      <c r="J48" s="48">
        <f>IF(J46="","",-(Basis+(-SUMIF($D$15:J15,"&lt;0"))))</f>
        <v>-98300000</v>
      </c>
      <c r="K48" s="48">
        <f>IF(K46="","",-(Basis+(-SUMIF($D$15:K15,"&lt;0"))))</f>
        <v>-98300000</v>
      </c>
      <c r="L48" s="48">
        <f>IF(L46="","",-(Basis+(-SUMIF($D$15:L15,"&lt;0"))))</f>
        <v>-98300000</v>
      </c>
      <c r="M48" s="48">
        <f>IF(M46="","",-(Basis+(-SUMIF($D$15:M15,"&lt;0"))))</f>
        <v>-98300000</v>
      </c>
      <c r="N48" s="48" t="str">
        <f>IF(N46="","",-(Basis+(-SUMIF($D$15:N15,"&lt;0"))))</f>
        <v/>
      </c>
      <c r="O48" s="48" t="str">
        <f>IF(O46="","",-(Basis+(-SUMIF($D$15:O15,"&lt;0"))))</f>
        <v/>
      </c>
      <c r="P48" s="48" t="str">
        <f>IF(P46="","",-(Basis+(-SUMIF($D$15:P15,"&lt;0"))))</f>
        <v/>
      </c>
      <c r="Q48" s="48" t="str">
        <f>IF(Q46="","",-(Basis+(-SUMIF($D$15:Q15,"&lt;0"))))</f>
        <v/>
      </c>
      <c r="R48" s="48" t="str">
        <f>IF(R46="","",-(Basis+(-SUMIF($D$15:R15,"&lt;0"))))</f>
        <v/>
      </c>
    </row>
    <row r="49" spans="2:18" hidden="1" outlineLevel="1" x14ac:dyDescent="0.25">
      <c r="B49">
        <f>B48+1</f>
        <v>1</v>
      </c>
      <c r="D49" s="62">
        <f t="shared" ref="D49:D63" ca="1" si="27">IF($B49&gt;D$46,"",IF(D$46="","",IF(D$46=$B49,OFFSET($D$15,0,$B48)+OFFSET($D$12,0,$B48),OFFSET($D$15,0,$B48))))</f>
        <v>124145653.84615383</v>
      </c>
      <c r="E49" s="62">
        <f t="shared" ref="E49:R49" ca="1" si="28">IF($B49&gt;E$46,"",IF(E$46="","",IF(E$46=$B49,OFFSET($D$15,0,$B48)+OFFSET($D$12,0,$B48),OFFSET($D$15,0,$B48))))</f>
        <v>6349500</v>
      </c>
      <c r="F49" s="62">
        <f t="shared" ca="1" si="28"/>
        <v>6349500</v>
      </c>
      <c r="G49" s="62">
        <f t="shared" ca="1" si="28"/>
        <v>6349500</v>
      </c>
      <c r="H49" s="62">
        <f t="shared" ca="1" si="28"/>
        <v>6349500</v>
      </c>
      <c r="I49" s="62">
        <f t="shared" ca="1" si="28"/>
        <v>6349500</v>
      </c>
      <c r="J49" s="62">
        <f t="shared" ca="1" si="28"/>
        <v>6349500</v>
      </c>
      <c r="K49" s="62">
        <f t="shared" ca="1" si="28"/>
        <v>6349500</v>
      </c>
      <c r="L49" s="62">
        <f t="shared" ca="1" si="28"/>
        <v>6349500</v>
      </c>
      <c r="M49" s="62">
        <f t="shared" ca="1" si="28"/>
        <v>6349500</v>
      </c>
      <c r="N49" s="62" t="str">
        <f t="shared" ca="1" si="28"/>
        <v/>
      </c>
      <c r="O49" s="62" t="str">
        <f t="shared" ca="1" si="28"/>
        <v/>
      </c>
      <c r="P49" s="62" t="str">
        <f t="shared" ca="1" si="28"/>
        <v/>
      </c>
      <c r="Q49" s="62" t="str">
        <f t="shared" ca="1" si="28"/>
        <v/>
      </c>
      <c r="R49" s="62" t="str">
        <f t="shared" ca="1" si="28"/>
        <v/>
      </c>
    </row>
    <row r="50" spans="2:18" hidden="1" outlineLevel="1" x14ac:dyDescent="0.25">
      <c r="B50">
        <f t="shared" ref="B50:B63" si="29">B49+1</f>
        <v>2</v>
      </c>
      <c r="D50" s="62" t="str">
        <f t="shared" ca="1" si="27"/>
        <v/>
      </c>
      <c r="E50" s="62">
        <f t="shared" ref="E50:E63" ca="1" si="30">IF($B50&gt;E$46,"",IF(E$46="","",IF(E$46=$B50,OFFSET($D$15,0,$B49)+OFFSET($D$12,0,$B49),OFFSET($D$15,0,$B49))))</f>
        <v>126327607.7290076</v>
      </c>
      <c r="F50" s="62">
        <f t="shared" ref="F50:F63" ca="1" si="31">IF($B50&gt;F$46,"",IF(F$46="","",IF(F$46=$B50,OFFSET($D$15,0,$B49)+OFFSET($D$12,0,$B49),OFFSET($D$15,0,$B49))))</f>
        <v>6508237.4999999991</v>
      </c>
      <c r="G50" s="62">
        <f t="shared" ref="G50:G63" ca="1" si="32">IF($B50&gt;G$46,"",IF(G$46="","",IF(G$46=$B50,OFFSET($D$15,0,$B49)+OFFSET($D$12,0,$B49),OFFSET($D$15,0,$B49))))</f>
        <v>6508237.4999999991</v>
      </c>
      <c r="H50" s="62">
        <f t="shared" ref="H50:H63" ca="1" si="33">IF($B50&gt;H$46,"",IF(H$46="","",IF(H$46=$B50,OFFSET($D$15,0,$B49)+OFFSET($D$12,0,$B49),OFFSET($D$15,0,$B49))))</f>
        <v>6508237.4999999991</v>
      </c>
      <c r="I50" s="62">
        <f t="shared" ref="I50:I63" ca="1" si="34">IF($B50&gt;I$46,"",IF(I$46="","",IF(I$46=$B50,OFFSET($D$15,0,$B49)+OFFSET($D$12,0,$B49),OFFSET($D$15,0,$B49))))</f>
        <v>6508237.4999999991</v>
      </c>
      <c r="J50" s="62">
        <f t="shared" ref="J50:J63" ca="1" si="35">IF($B50&gt;J$46,"",IF(J$46="","",IF(J$46=$B50,OFFSET($D$15,0,$B49)+OFFSET($D$12,0,$B49),OFFSET($D$15,0,$B49))))</f>
        <v>6508237.4999999991</v>
      </c>
      <c r="K50" s="62">
        <f t="shared" ref="K50:K63" ca="1" si="36">IF($B50&gt;K$46,"",IF(K$46="","",IF(K$46=$B50,OFFSET($D$15,0,$B49)+OFFSET($D$12,0,$B49),OFFSET($D$15,0,$B49))))</f>
        <v>6508237.4999999991</v>
      </c>
      <c r="L50" s="62">
        <f t="shared" ref="L50:L63" ca="1" si="37">IF($B50&gt;L$46,"",IF(L$46="","",IF(L$46=$B50,OFFSET($D$15,0,$B49)+OFFSET($D$12,0,$B49),OFFSET($D$15,0,$B49))))</f>
        <v>6508237.4999999991</v>
      </c>
      <c r="M50" s="62">
        <f t="shared" ref="M50:M63" ca="1" si="38">IF($B50&gt;M$46,"",IF(M$46="","",IF(M$46=$B50,OFFSET($D$15,0,$B49)+OFFSET($D$12,0,$B49),OFFSET($D$15,0,$B49))))</f>
        <v>6508237.4999999991</v>
      </c>
      <c r="N50" s="62" t="str">
        <f t="shared" ref="N50:N63" ca="1" si="39">IF($B50&gt;N$46,"",IF(N$46="","",IF(N$46=$B50,OFFSET($D$15,0,$B49)+OFFSET($D$12,0,$B49),OFFSET($D$15,0,$B49))))</f>
        <v/>
      </c>
      <c r="O50" s="62" t="str">
        <f t="shared" ref="O50:O63" ca="1" si="40">IF($B50&gt;O$46,"",IF(O$46="","",IF(O$46=$B50,OFFSET($D$15,0,$B49)+OFFSET($D$12,0,$B49),OFFSET($D$15,0,$B49))))</f>
        <v/>
      </c>
      <c r="P50" s="62" t="str">
        <f t="shared" ref="P50:P63" ca="1" si="41">IF($B50&gt;P$46,"",IF(P$46="","",IF(P$46=$B50,OFFSET($D$15,0,$B49)+OFFSET($D$12,0,$B49),OFFSET($D$15,0,$B49))))</f>
        <v/>
      </c>
      <c r="Q50" s="62" t="str">
        <f t="shared" ref="Q50:Q63" ca="1" si="42">IF($B50&gt;Q$46,"",IF(Q$46="","",IF(Q$46=$B50,OFFSET($D$15,0,$B49)+OFFSET($D$12,0,$B49),OFFSET($D$15,0,$B49))))</f>
        <v/>
      </c>
      <c r="R50" s="62" t="str">
        <f t="shared" ref="R50:R63" ca="1" si="43">IF($B50&gt;R$46,"",IF(R$46="","",IF(R$46=$B50,OFFSET($D$15,0,$B49)+OFFSET($D$12,0,$B49),OFFSET($D$15,0,$B49))))</f>
        <v/>
      </c>
    </row>
    <row r="51" spans="2:18" hidden="1" outlineLevel="1" x14ac:dyDescent="0.25">
      <c r="B51">
        <f t="shared" si="29"/>
        <v>3</v>
      </c>
      <c r="D51" s="62" t="str">
        <f t="shared" ca="1" si="27"/>
        <v/>
      </c>
      <c r="E51" s="62" t="str">
        <f t="shared" ca="1" si="30"/>
        <v/>
      </c>
      <c r="F51" s="62">
        <f t="shared" ca="1" si="31"/>
        <v>128555382.35795447</v>
      </c>
      <c r="G51" s="62">
        <f t="shared" ca="1" si="32"/>
        <v>6670943.4374999981</v>
      </c>
      <c r="H51" s="62">
        <f t="shared" ca="1" si="33"/>
        <v>6670943.4374999981</v>
      </c>
      <c r="I51" s="62">
        <f t="shared" ca="1" si="34"/>
        <v>6670943.4374999981</v>
      </c>
      <c r="J51" s="62">
        <f t="shared" ca="1" si="35"/>
        <v>6670943.4374999981</v>
      </c>
      <c r="K51" s="62">
        <f t="shared" ca="1" si="36"/>
        <v>6670943.4374999981</v>
      </c>
      <c r="L51" s="62">
        <f t="shared" ca="1" si="37"/>
        <v>6670943.4374999981</v>
      </c>
      <c r="M51" s="62">
        <f t="shared" ca="1" si="38"/>
        <v>6670943.4374999981</v>
      </c>
      <c r="N51" s="62" t="str">
        <f t="shared" ca="1" si="39"/>
        <v/>
      </c>
      <c r="O51" s="62" t="str">
        <f t="shared" ca="1" si="40"/>
        <v/>
      </c>
      <c r="P51" s="62" t="str">
        <f t="shared" ca="1" si="41"/>
        <v/>
      </c>
      <c r="Q51" s="62" t="str">
        <f t="shared" ca="1" si="42"/>
        <v/>
      </c>
      <c r="R51" s="62" t="str">
        <f t="shared" ca="1" si="43"/>
        <v/>
      </c>
    </row>
    <row r="52" spans="2:18" hidden="1" outlineLevel="1" x14ac:dyDescent="0.25">
      <c r="B52">
        <f t="shared" si="29"/>
        <v>4</v>
      </c>
      <c r="D52" s="62" t="str">
        <f t="shared" ca="1" si="27"/>
        <v/>
      </c>
      <c r="E52" s="62" t="str">
        <f t="shared" ca="1" si="30"/>
        <v/>
      </c>
      <c r="F52" s="62" t="str">
        <f t="shared" ca="1" si="31"/>
        <v/>
      </c>
      <c r="G52" s="62">
        <f t="shared" ca="1" si="32"/>
        <v>130829931.9552983</v>
      </c>
      <c r="H52" s="62">
        <f t="shared" ca="1" si="33"/>
        <v>6837717.0234374953</v>
      </c>
      <c r="I52" s="62">
        <f t="shared" ca="1" si="34"/>
        <v>6837717.0234374953</v>
      </c>
      <c r="J52" s="62">
        <f t="shared" ca="1" si="35"/>
        <v>6837717.0234374953</v>
      </c>
      <c r="K52" s="62">
        <f t="shared" ca="1" si="36"/>
        <v>6837717.0234374953</v>
      </c>
      <c r="L52" s="62">
        <f t="shared" ca="1" si="37"/>
        <v>6837717.0234374953</v>
      </c>
      <c r="M52" s="62">
        <f t="shared" ca="1" si="38"/>
        <v>6837717.0234374953</v>
      </c>
      <c r="N52" s="62" t="str">
        <f t="shared" ca="1" si="39"/>
        <v/>
      </c>
      <c r="O52" s="62" t="str">
        <f t="shared" ca="1" si="40"/>
        <v/>
      </c>
      <c r="P52" s="62" t="str">
        <f t="shared" ca="1" si="41"/>
        <v/>
      </c>
      <c r="Q52" s="62" t="str">
        <f t="shared" ca="1" si="42"/>
        <v/>
      </c>
      <c r="R52" s="62" t="str">
        <f t="shared" ca="1" si="43"/>
        <v/>
      </c>
    </row>
    <row r="53" spans="2:18" hidden="1" outlineLevel="1" x14ac:dyDescent="0.25">
      <c r="B53">
        <f t="shared" si="29"/>
        <v>5</v>
      </c>
      <c r="D53" s="62" t="str">
        <f t="shared" ca="1" si="27"/>
        <v/>
      </c>
      <c r="E53" s="62" t="str">
        <f t="shared" ca="1" si="30"/>
        <v/>
      </c>
      <c r="F53" s="62" t="str">
        <f t="shared" ca="1" si="31"/>
        <v/>
      </c>
      <c r="G53" s="62" t="str">
        <f t="shared" ca="1" si="32"/>
        <v/>
      </c>
      <c r="H53" s="62">
        <f t="shared" ca="1" si="33"/>
        <v>133152232.3414557</v>
      </c>
      <c r="I53" s="62">
        <f t="shared" ca="1" si="34"/>
        <v>7008659.949023433</v>
      </c>
      <c r="J53" s="62">
        <f t="shared" ca="1" si="35"/>
        <v>7008659.949023433</v>
      </c>
      <c r="K53" s="62">
        <f t="shared" ca="1" si="36"/>
        <v>7008659.949023433</v>
      </c>
      <c r="L53" s="62">
        <f t="shared" ca="1" si="37"/>
        <v>7008659.949023433</v>
      </c>
      <c r="M53" s="62">
        <f t="shared" ca="1" si="38"/>
        <v>7008659.949023433</v>
      </c>
      <c r="N53" s="62" t="str">
        <f t="shared" ca="1" si="39"/>
        <v/>
      </c>
      <c r="O53" s="62" t="str">
        <f t="shared" ca="1" si="40"/>
        <v/>
      </c>
      <c r="P53" s="62" t="str">
        <f t="shared" ca="1" si="41"/>
        <v/>
      </c>
      <c r="Q53" s="62" t="str">
        <f t="shared" ca="1" si="42"/>
        <v/>
      </c>
      <c r="R53" s="62" t="str">
        <f t="shared" ca="1" si="43"/>
        <v/>
      </c>
    </row>
    <row r="54" spans="2:18" hidden="1" outlineLevel="1" x14ac:dyDescent="0.25">
      <c r="B54">
        <f t="shared" si="29"/>
        <v>6</v>
      </c>
      <c r="D54" s="62" t="str">
        <f t="shared" ca="1" si="27"/>
        <v/>
      </c>
      <c r="E54" s="62" t="str">
        <f t="shared" ca="1" si="30"/>
        <v/>
      </c>
      <c r="F54" s="62" t="str">
        <f t="shared" ca="1" si="31"/>
        <v/>
      </c>
      <c r="G54" s="62" t="str">
        <f t="shared" ca="1" si="32"/>
        <v/>
      </c>
      <c r="H54" s="62" t="str">
        <f t="shared" ca="1" si="33"/>
        <v/>
      </c>
      <c r="I54" s="62">
        <f t="shared" ca="1" si="34"/>
        <v>135523281.39664215</v>
      </c>
      <c r="J54" s="62">
        <f t="shared" ca="1" si="35"/>
        <v>7183876.4477490168</v>
      </c>
      <c r="K54" s="62">
        <f t="shared" ca="1" si="36"/>
        <v>7183876.4477490168</v>
      </c>
      <c r="L54" s="62">
        <f t="shared" ca="1" si="37"/>
        <v>7183876.4477490168</v>
      </c>
      <c r="M54" s="62">
        <f t="shared" ca="1" si="38"/>
        <v>7183876.4477490168</v>
      </c>
      <c r="N54" s="62" t="str">
        <f t="shared" ca="1" si="39"/>
        <v/>
      </c>
      <c r="O54" s="62" t="str">
        <f t="shared" ca="1" si="40"/>
        <v/>
      </c>
      <c r="P54" s="62" t="str">
        <f t="shared" ca="1" si="41"/>
        <v/>
      </c>
      <c r="Q54" s="62" t="str">
        <f t="shared" ca="1" si="42"/>
        <v/>
      </c>
      <c r="R54" s="62" t="str">
        <f t="shared" ca="1" si="43"/>
        <v/>
      </c>
    </row>
    <row r="55" spans="2:18" hidden="1" outlineLevel="1" x14ac:dyDescent="0.25">
      <c r="B55">
        <f t="shared" si="29"/>
        <v>7</v>
      </c>
      <c r="D55" s="62" t="str">
        <f t="shared" ca="1" si="27"/>
        <v/>
      </c>
      <c r="E55" s="62" t="str">
        <f t="shared" ca="1" si="30"/>
        <v/>
      </c>
      <c r="F55" s="62" t="str">
        <f t="shared" ca="1" si="31"/>
        <v/>
      </c>
      <c r="G55" s="62" t="str">
        <f t="shared" ca="1" si="32"/>
        <v/>
      </c>
      <c r="H55" s="62" t="str">
        <f t="shared" ca="1" si="33"/>
        <v/>
      </c>
      <c r="I55" s="62" t="str">
        <f t="shared" ca="1" si="34"/>
        <v/>
      </c>
      <c r="J55" s="62">
        <f t="shared" ca="1" si="35"/>
        <v>137944099.53396541</v>
      </c>
      <c r="K55" s="62">
        <f t="shared" ca="1" si="36"/>
        <v>7363473.3589427434</v>
      </c>
      <c r="L55" s="62">
        <f t="shared" ca="1" si="37"/>
        <v>7363473.3589427434</v>
      </c>
      <c r="M55" s="62">
        <f t="shared" ca="1" si="38"/>
        <v>7363473.3589427434</v>
      </c>
      <c r="N55" s="62" t="str">
        <f t="shared" ca="1" si="39"/>
        <v/>
      </c>
      <c r="O55" s="62" t="str">
        <f t="shared" ca="1" si="40"/>
        <v/>
      </c>
      <c r="P55" s="62" t="str">
        <f t="shared" ca="1" si="41"/>
        <v/>
      </c>
      <c r="Q55" s="62" t="str">
        <f t="shared" ca="1" si="42"/>
        <v/>
      </c>
      <c r="R55" s="62" t="str">
        <f t="shared" ca="1" si="43"/>
        <v/>
      </c>
    </row>
    <row r="56" spans="2:18" hidden="1" outlineLevel="1" x14ac:dyDescent="0.25">
      <c r="B56">
        <f t="shared" si="29"/>
        <v>8</v>
      </c>
      <c r="D56" s="62" t="str">
        <f t="shared" ca="1" si="27"/>
        <v/>
      </c>
      <c r="E56" s="62" t="str">
        <f t="shared" ca="1" si="30"/>
        <v/>
      </c>
      <c r="F56" s="62" t="str">
        <f t="shared" ca="1" si="31"/>
        <v/>
      </c>
      <c r="G56" s="62" t="str">
        <f t="shared" ca="1" si="32"/>
        <v/>
      </c>
      <c r="H56" s="62" t="str">
        <f t="shared" ca="1" si="33"/>
        <v/>
      </c>
      <c r="I56" s="62" t="str">
        <f t="shared" ca="1" si="34"/>
        <v/>
      </c>
      <c r="J56" s="62" t="str">
        <f t="shared" ca="1" si="35"/>
        <v/>
      </c>
      <c r="K56" s="62">
        <f t="shared" ca="1" si="36"/>
        <v>140415730.18414375</v>
      </c>
      <c r="L56" s="62">
        <f t="shared" ca="1" si="37"/>
        <v>7547560.1929163104</v>
      </c>
      <c r="M56" s="62">
        <f t="shared" ca="1" si="38"/>
        <v>7547560.1929163104</v>
      </c>
      <c r="N56" s="62" t="str">
        <f t="shared" ca="1" si="39"/>
        <v/>
      </c>
      <c r="O56" s="62" t="str">
        <f t="shared" ca="1" si="40"/>
        <v/>
      </c>
      <c r="P56" s="62" t="str">
        <f t="shared" ca="1" si="41"/>
        <v/>
      </c>
      <c r="Q56" s="62" t="str">
        <f t="shared" ca="1" si="42"/>
        <v/>
      </c>
      <c r="R56" s="62" t="str">
        <f t="shared" ca="1" si="43"/>
        <v/>
      </c>
    </row>
    <row r="57" spans="2:18" hidden="1" outlineLevel="1" x14ac:dyDescent="0.25">
      <c r="B57">
        <f t="shared" si="29"/>
        <v>9</v>
      </c>
      <c r="D57" s="62" t="str">
        <f t="shared" ca="1" si="27"/>
        <v/>
      </c>
      <c r="E57" s="62" t="str">
        <f t="shared" ca="1" si="30"/>
        <v/>
      </c>
      <c r="F57" s="62" t="str">
        <f t="shared" ca="1" si="31"/>
        <v/>
      </c>
      <c r="G57" s="62" t="str">
        <f t="shared" ca="1" si="32"/>
        <v/>
      </c>
      <c r="H57" s="62" t="str">
        <f t="shared" ca="1" si="33"/>
        <v/>
      </c>
      <c r="I57" s="62" t="str">
        <f t="shared" ca="1" si="34"/>
        <v/>
      </c>
      <c r="J57" s="62" t="str">
        <f t="shared" ca="1" si="35"/>
        <v/>
      </c>
      <c r="K57" s="62" t="str">
        <f t="shared" ca="1" si="36"/>
        <v/>
      </c>
      <c r="L57" s="62">
        <f t="shared" ca="1" si="37"/>
        <v>142939240.29207337</v>
      </c>
      <c r="M57" s="62">
        <f t="shared" ca="1" si="38"/>
        <v>7736249.1977392184</v>
      </c>
      <c r="N57" s="62" t="str">
        <f t="shared" ca="1" si="39"/>
        <v/>
      </c>
      <c r="O57" s="62" t="str">
        <f t="shared" ca="1" si="40"/>
        <v/>
      </c>
      <c r="P57" s="62" t="str">
        <f t="shared" ca="1" si="41"/>
        <v/>
      </c>
      <c r="Q57" s="62" t="str">
        <f t="shared" ca="1" si="42"/>
        <v/>
      </c>
      <c r="R57" s="62" t="str">
        <f t="shared" ca="1" si="43"/>
        <v/>
      </c>
    </row>
    <row r="58" spans="2:18" hidden="1" outlineLevel="1" x14ac:dyDescent="0.25">
      <c r="B58">
        <f t="shared" si="29"/>
        <v>10</v>
      </c>
      <c r="D58" s="62" t="str">
        <f t="shared" ca="1" si="27"/>
        <v/>
      </c>
      <c r="E58" s="62" t="str">
        <f t="shared" ca="1" si="30"/>
        <v/>
      </c>
      <c r="F58" s="62" t="str">
        <f t="shared" ca="1" si="31"/>
        <v/>
      </c>
      <c r="G58" s="62" t="str">
        <f t="shared" ca="1" si="32"/>
        <v/>
      </c>
      <c r="H58" s="62" t="str">
        <f t="shared" ca="1" si="33"/>
        <v/>
      </c>
      <c r="I58" s="62" t="str">
        <f t="shared" ca="1" si="34"/>
        <v/>
      </c>
      <c r="J58" s="62" t="str">
        <f t="shared" ca="1" si="35"/>
        <v/>
      </c>
      <c r="K58" s="62" t="str">
        <f t="shared" ca="1" si="36"/>
        <v/>
      </c>
      <c r="L58" s="62" t="str">
        <f t="shared" ca="1" si="37"/>
        <v/>
      </c>
      <c r="M58" s="62">
        <f ca="1">IF($B58&gt;M$46,"",IF(M$46="","",IF(M$46=$B58,OFFSET($D$15,0,$B57)+OFFSET($D$12,0,$B57),OFFSET($D$15,0,$B57))))</f>
        <v>145515720.82547811</v>
      </c>
      <c r="N58" s="62" t="str">
        <f t="shared" ca="1" si="39"/>
        <v/>
      </c>
      <c r="O58" s="62" t="str">
        <f t="shared" ca="1" si="40"/>
        <v/>
      </c>
      <c r="P58" s="62" t="str">
        <f t="shared" ca="1" si="41"/>
        <v/>
      </c>
      <c r="Q58" s="62" t="str">
        <f t="shared" ca="1" si="42"/>
        <v/>
      </c>
      <c r="R58" s="62" t="str">
        <f t="shared" ca="1" si="43"/>
        <v/>
      </c>
    </row>
    <row r="59" spans="2:18" hidden="1" outlineLevel="1" x14ac:dyDescent="0.25">
      <c r="B59">
        <f t="shared" si="29"/>
        <v>11</v>
      </c>
      <c r="D59" s="62" t="str">
        <f t="shared" ca="1" si="27"/>
        <v/>
      </c>
      <c r="E59" s="62" t="str">
        <f t="shared" ca="1" si="30"/>
        <v/>
      </c>
      <c r="F59" s="62" t="str">
        <f t="shared" ca="1" si="31"/>
        <v/>
      </c>
      <c r="G59" s="62" t="str">
        <f t="shared" ca="1" si="32"/>
        <v/>
      </c>
      <c r="H59" s="62" t="str">
        <f t="shared" ca="1" si="33"/>
        <v/>
      </c>
      <c r="I59" s="62" t="str">
        <f t="shared" ca="1" si="34"/>
        <v/>
      </c>
      <c r="J59" s="62" t="str">
        <f t="shared" ca="1" si="35"/>
        <v/>
      </c>
      <c r="K59" s="62" t="str">
        <f t="shared" ca="1" si="36"/>
        <v/>
      </c>
      <c r="L59" s="62" t="str">
        <f t="shared" ca="1" si="37"/>
        <v/>
      </c>
      <c r="M59" s="62" t="str">
        <f t="shared" ca="1" si="38"/>
        <v/>
      </c>
      <c r="N59" s="62" t="str">
        <f t="shared" ca="1" si="39"/>
        <v/>
      </c>
      <c r="O59" s="62" t="str">
        <f t="shared" ca="1" si="40"/>
        <v/>
      </c>
      <c r="P59" s="62" t="str">
        <f t="shared" ca="1" si="41"/>
        <v/>
      </c>
      <c r="Q59" s="62" t="str">
        <f t="shared" ca="1" si="42"/>
        <v/>
      </c>
      <c r="R59" s="62" t="str">
        <f t="shared" ca="1" si="43"/>
        <v/>
      </c>
    </row>
    <row r="60" spans="2:18" hidden="1" outlineLevel="1" x14ac:dyDescent="0.25">
      <c r="B60">
        <f t="shared" si="29"/>
        <v>12</v>
      </c>
      <c r="D60" s="62" t="str">
        <f t="shared" ca="1" si="27"/>
        <v/>
      </c>
      <c r="E60" s="62" t="str">
        <f t="shared" ca="1" si="30"/>
        <v/>
      </c>
      <c r="F60" s="62" t="str">
        <f t="shared" ca="1" si="31"/>
        <v/>
      </c>
      <c r="G60" s="62" t="str">
        <f t="shared" ca="1" si="32"/>
        <v/>
      </c>
      <c r="H60" s="62" t="str">
        <f t="shared" ca="1" si="33"/>
        <v/>
      </c>
      <c r="I60" s="62" t="str">
        <f t="shared" ca="1" si="34"/>
        <v/>
      </c>
      <c r="J60" s="62" t="str">
        <f t="shared" ca="1" si="35"/>
        <v/>
      </c>
      <c r="K60" s="62" t="str">
        <f t="shared" ca="1" si="36"/>
        <v/>
      </c>
      <c r="L60" s="62" t="str">
        <f t="shared" ca="1" si="37"/>
        <v/>
      </c>
      <c r="M60" s="62" t="str">
        <f t="shared" ca="1" si="38"/>
        <v/>
      </c>
      <c r="N60" s="62" t="str">
        <f t="shared" ca="1" si="39"/>
        <v/>
      </c>
      <c r="O60" s="62" t="str">
        <f t="shared" ca="1" si="40"/>
        <v/>
      </c>
      <c r="P60" s="62" t="str">
        <f t="shared" ca="1" si="41"/>
        <v/>
      </c>
      <c r="Q60" s="62" t="str">
        <f t="shared" ca="1" si="42"/>
        <v/>
      </c>
      <c r="R60" s="62" t="str">
        <f t="shared" ca="1" si="43"/>
        <v/>
      </c>
    </row>
    <row r="61" spans="2:18" hidden="1" outlineLevel="1" x14ac:dyDescent="0.25">
      <c r="B61">
        <f t="shared" si="29"/>
        <v>13</v>
      </c>
      <c r="D61" s="62" t="str">
        <f t="shared" ca="1" si="27"/>
        <v/>
      </c>
      <c r="E61" s="62" t="str">
        <f t="shared" ca="1" si="30"/>
        <v/>
      </c>
      <c r="F61" s="62" t="str">
        <f t="shared" ca="1" si="31"/>
        <v/>
      </c>
      <c r="G61" s="62" t="str">
        <f t="shared" ca="1" si="32"/>
        <v/>
      </c>
      <c r="H61" s="62" t="str">
        <f t="shared" ca="1" si="33"/>
        <v/>
      </c>
      <c r="I61" s="62" t="str">
        <f t="shared" ca="1" si="34"/>
        <v/>
      </c>
      <c r="J61" s="62" t="str">
        <f t="shared" ca="1" si="35"/>
        <v/>
      </c>
      <c r="K61" s="62" t="str">
        <f t="shared" ca="1" si="36"/>
        <v/>
      </c>
      <c r="L61" s="62" t="str">
        <f t="shared" ca="1" si="37"/>
        <v/>
      </c>
      <c r="M61" s="62" t="str">
        <f t="shared" ca="1" si="38"/>
        <v/>
      </c>
      <c r="N61" s="62" t="str">
        <f t="shared" ca="1" si="39"/>
        <v/>
      </c>
      <c r="O61" s="62" t="str">
        <f t="shared" ca="1" si="40"/>
        <v/>
      </c>
      <c r="P61" s="62" t="str">
        <f t="shared" ca="1" si="41"/>
        <v/>
      </c>
      <c r="Q61" s="62" t="str">
        <f t="shared" ca="1" si="42"/>
        <v/>
      </c>
      <c r="R61" s="62" t="str">
        <f t="shared" ca="1" si="43"/>
        <v/>
      </c>
    </row>
    <row r="62" spans="2:18" hidden="1" outlineLevel="1" x14ac:dyDescent="0.25">
      <c r="B62">
        <f t="shared" si="29"/>
        <v>14</v>
      </c>
      <c r="D62" s="62" t="str">
        <f t="shared" ca="1" si="27"/>
        <v/>
      </c>
      <c r="E62" s="62" t="str">
        <f t="shared" ca="1" si="30"/>
        <v/>
      </c>
      <c r="F62" s="62" t="str">
        <f t="shared" ca="1" si="31"/>
        <v/>
      </c>
      <c r="G62" s="62" t="str">
        <f t="shared" ca="1" si="32"/>
        <v/>
      </c>
      <c r="H62" s="62" t="str">
        <f t="shared" ca="1" si="33"/>
        <v/>
      </c>
      <c r="I62" s="62" t="str">
        <f t="shared" ca="1" si="34"/>
        <v/>
      </c>
      <c r="J62" s="62" t="str">
        <f t="shared" ca="1" si="35"/>
        <v/>
      </c>
      <c r="K62" s="62" t="str">
        <f t="shared" ca="1" si="36"/>
        <v/>
      </c>
      <c r="L62" s="62" t="str">
        <f t="shared" ca="1" si="37"/>
        <v/>
      </c>
      <c r="M62" s="62" t="str">
        <f t="shared" ca="1" si="38"/>
        <v/>
      </c>
      <c r="N62" s="62" t="str">
        <f t="shared" ca="1" si="39"/>
        <v/>
      </c>
      <c r="O62" s="62" t="str">
        <f t="shared" ca="1" si="40"/>
        <v/>
      </c>
      <c r="P62" s="62" t="str">
        <f t="shared" ca="1" si="41"/>
        <v/>
      </c>
      <c r="Q62" s="62" t="str">
        <f t="shared" ca="1" si="42"/>
        <v/>
      </c>
      <c r="R62" s="62" t="str">
        <f t="shared" ca="1" si="43"/>
        <v/>
      </c>
    </row>
    <row r="63" spans="2:18" hidden="1" outlineLevel="1" x14ac:dyDescent="0.25">
      <c r="B63">
        <f t="shared" si="29"/>
        <v>15</v>
      </c>
      <c r="D63" s="62" t="str">
        <f t="shared" ca="1" si="27"/>
        <v/>
      </c>
      <c r="E63" s="62" t="str">
        <f t="shared" ca="1" si="30"/>
        <v/>
      </c>
      <c r="F63" s="62" t="str">
        <f t="shared" ca="1" si="31"/>
        <v/>
      </c>
      <c r="G63" s="62" t="str">
        <f t="shared" ca="1" si="32"/>
        <v/>
      </c>
      <c r="H63" s="62" t="str">
        <f t="shared" ca="1" si="33"/>
        <v/>
      </c>
      <c r="I63" s="62" t="str">
        <f t="shared" ca="1" si="34"/>
        <v/>
      </c>
      <c r="J63" s="62" t="str">
        <f t="shared" ca="1" si="35"/>
        <v/>
      </c>
      <c r="K63" s="62" t="str">
        <f t="shared" ca="1" si="36"/>
        <v/>
      </c>
      <c r="L63" s="62" t="str">
        <f t="shared" ca="1" si="37"/>
        <v/>
      </c>
      <c r="M63" s="62" t="str">
        <f t="shared" ca="1" si="38"/>
        <v/>
      </c>
      <c r="N63" s="62" t="str">
        <f t="shared" ca="1" si="39"/>
        <v/>
      </c>
      <c r="O63" s="62" t="str">
        <f t="shared" ca="1" si="40"/>
        <v/>
      </c>
      <c r="P63" s="62" t="str">
        <f t="shared" ca="1" si="41"/>
        <v/>
      </c>
      <c r="Q63" s="62" t="str">
        <f t="shared" ca="1" si="42"/>
        <v/>
      </c>
      <c r="R63" s="62" t="str">
        <f t="shared" ca="1" si="43"/>
        <v/>
      </c>
    </row>
    <row r="64" spans="2:18" hidden="1" outlineLevel="1" x14ac:dyDescent="0.25"/>
    <row r="65" spans="2:18" hidden="1" outlineLevel="1" x14ac:dyDescent="0.25">
      <c r="B65" s="61" t="s">
        <v>62</v>
      </c>
    </row>
    <row r="66" spans="2:18" hidden="1" outlineLevel="1" x14ac:dyDescent="0.25">
      <c r="B66" s="60" t="s">
        <v>60</v>
      </c>
      <c r="C66" s="9"/>
      <c r="D66" s="9">
        <f>D46</f>
        <v>1</v>
      </c>
      <c r="E66" s="9">
        <f t="shared" ref="E66:R66" si="44">E46</f>
        <v>2</v>
      </c>
      <c r="F66" s="9">
        <f t="shared" si="44"/>
        <v>3</v>
      </c>
      <c r="G66" s="9">
        <f t="shared" si="44"/>
        <v>4</v>
      </c>
      <c r="H66" s="9">
        <f t="shared" si="44"/>
        <v>5</v>
      </c>
      <c r="I66" s="9">
        <f t="shared" si="44"/>
        <v>6</v>
      </c>
      <c r="J66" s="9">
        <f t="shared" si="44"/>
        <v>7</v>
      </c>
      <c r="K66" s="9">
        <f t="shared" si="44"/>
        <v>8</v>
      </c>
      <c r="L66" s="9">
        <f t="shared" si="44"/>
        <v>9</v>
      </c>
      <c r="M66" s="9">
        <f t="shared" si="44"/>
        <v>10</v>
      </c>
      <c r="N66" s="9" t="str">
        <f t="shared" si="44"/>
        <v/>
      </c>
      <c r="O66" s="9" t="str">
        <f t="shared" si="44"/>
        <v/>
      </c>
      <c r="P66" s="9" t="str">
        <f t="shared" si="44"/>
        <v/>
      </c>
      <c r="Q66" s="9" t="str">
        <f t="shared" si="44"/>
        <v/>
      </c>
      <c r="R66" s="9" t="str">
        <f t="shared" si="44"/>
        <v/>
      </c>
    </row>
    <row r="67" spans="2:18" hidden="1" outlineLevel="1" x14ac:dyDescent="0.25">
      <c r="B67" s="60" t="s">
        <v>61</v>
      </c>
      <c r="C67" s="9"/>
      <c r="D67" s="63">
        <f ca="1">IF(D66="","",IRR(D68:D83))</f>
        <v>0.45704261744374897</v>
      </c>
      <c r="E67" s="63">
        <f t="shared" ref="E67" ca="1" si="45">IF(E66="","",IRR(E68:E83))</f>
        <v>0.26646844129008906</v>
      </c>
      <c r="F67" s="63">
        <f t="shared" ref="F67" ca="1" si="46">IF(F66="","",IRR(F68:F83))</f>
        <v>0.20887034269850902</v>
      </c>
      <c r="G67" s="63">
        <f t="shared" ref="G67" ca="1" si="47">IF(G66="","",IRR(G68:G83))</f>
        <v>0.18123904939931856</v>
      </c>
      <c r="H67" s="63">
        <f t="shared" ref="H67" ca="1" si="48">IF(H66="","",IRR(H68:H83))</f>
        <v>0.16483982075613368</v>
      </c>
      <c r="I67" s="63">
        <f t="shared" ref="I67" ca="1" si="49">IF(I66="","",IRR(I68:I83))</f>
        <v>0.15397730914444341</v>
      </c>
      <c r="J67" s="63">
        <f t="shared" ref="J67" ca="1" si="50">IF(J66="","",IRR(J68:J83))</f>
        <v>0.14625189455387799</v>
      </c>
      <c r="K67" s="63">
        <f t="shared" ref="K67" ca="1" si="51">IF(K66="","",IRR(K68:K83))</f>
        <v>0.1404766530186774</v>
      </c>
      <c r="L67" s="63">
        <f t="shared" ref="L67" ca="1" si="52">IF(L66="","",IRR(L68:L83))</f>
        <v>0.13599705227719294</v>
      </c>
      <c r="M67" s="63">
        <f t="shared" ref="M67" ca="1" si="53">IF(M66="","",IRR(M68:M83))</f>
        <v>0.1324224616089904</v>
      </c>
      <c r="N67" s="63" t="str">
        <f t="shared" ref="N67" si="54">IF(N66="","",IRR(N68:N83))</f>
        <v/>
      </c>
      <c r="O67" s="63" t="str">
        <f t="shared" ref="O67" si="55">IF(O66="","",IRR(O68:O83))</f>
        <v/>
      </c>
      <c r="P67" s="63" t="str">
        <f t="shared" ref="P67" si="56">IF(P66="","",IRR(P68:P83))</f>
        <v/>
      </c>
      <c r="Q67" s="63" t="str">
        <f t="shared" ref="Q67" si="57">IF(Q66="","",IRR(Q68:Q83))</f>
        <v/>
      </c>
      <c r="R67" s="63" t="str">
        <f t="shared" ref="R67" si="58">IF(R66="","",IRR(R68:R83))</f>
        <v/>
      </c>
    </row>
    <row r="68" spans="2:18" hidden="1" outlineLevel="1" x14ac:dyDescent="0.25">
      <c r="B68" s="60">
        <v>0</v>
      </c>
      <c r="D68" s="48">
        <f>IF(D66="","",-(Equity+(-SUMIF($D$34:D34,"&lt;0"))))</f>
        <v>-50780000</v>
      </c>
      <c r="E68" s="48">
        <f>IF(E66="","",-(Equity+(-SUMIF($D$34:E34,"&lt;0"))))</f>
        <v>-50780000</v>
      </c>
      <c r="F68" s="48">
        <f>IF(F66="","",-(Equity+(-SUMIF($D$34:F34,"&lt;0"))))</f>
        <v>-50780000</v>
      </c>
      <c r="G68" s="48">
        <f>IF(G66="","",-(Equity+(-SUMIF($D$34:G34,"&lt;0"))))</f>
        <v>-50780000</v>
      </c>
      <c r="H68" s="48">
        <f>IF(H66="","",-(Equity+(-SUMIF($D$34:H34,"&lt;0"))))</f>
        <v>-50780000</v>
      </c>
      <c r="I68" s="48">
        <f>IF(I66="","",-(Equity+(-SUMIF($D$34:I34,"&lt;0"))))</f>
        <v>-50780000</v>
      </c>
      <c r="J68" s="48">
        <f>IF(J66="","",-(Equity+(-SUMIF($D$34:J34,"&lt;0"))))</f>
        <v>-50780000</v>
      </c>
      <c r="K68" s="48">
        <f>IF(K66="","",-(Equity+(-SUMIF($D$34:K34,"&lt;0"))))</f>
        <v>-50780000</v>
      </c>
      <c r="L68" s="48">
        <f>IF(L66="","",-(Equity+(-SUMIF($D$34:L34,"&lt;0"))))</f>
        <v>-50780000</v>
      </c>
      <c r="M68" s="48">
        <f>IF(M66="","",-(Equity+(-SUMIF($D$34:M34,"&lt;0"))))</f>
        <v>-50780000</v>
      </c>
      <c r="N68" s="48" t="str">
        <f>IF(N66="","",-(Equity+(-SUMIF($D$34:N34,"&lt;0"))))</f>
        <v/>
      </c>
      <c r="O68" s="48" t="str">
        <f>IF(O66="","",-(Equity+(-SUMIF($D$34:O34,"&lt;0"))))</f>
        <v/>
      </c>
      <c r="P68" s="48" t="str">
        <f>IF(P66="","",-(Equity+(-SUMIF($D$34:P34,"&lt;0"))))</f>
        <v/>
      </c>
      <c r="Q68" s="48" t="str">
        <f>IF(Q66="","",-(Equity+(-SUMIF($D$34:Q34,"&lt;0"))))</f>
        <v/>
      </c>
      <c r="R68" s="48" t="str">
        <f>IF(R66="","",-(Equity+(-SUMIF($D$34:R34,"&lt;0"))))</f>
        <v/>
      </c>
    </row>
    <row r="69" spans="2:18" hidden="1" outlineLevel="1" x14ac:dyDescent="0.25">
      <c r="B69">
        <f>B68+1</f>
        <v>1</v>
      </c>
      <c r="D69" s="62">
        <f ca="1">IF($B69&gt;D$46,"",IF(D$46="","",IF(D$46=$B69,OFFSET($D$34,0,$B68)+OFFSET($D$31,0,$B68),OFFSET($D$34,0,$B68))))</f>
        <v>73988624.113793567</v>
      </c>
      <c r="E69" s="62">
        <f t="shared" ref="E69:R69" ca="1" si="59">IF($B69&gt;E$46,"",IF(E$46="","",IF(E$46=$B69,OFFSET($D$34,0,$B68)+OFFSET($D$31,0,$B68),OFFSET($D$34,0,$B68))))</f>
        <v>4047279.8653880488</v>
      </c>
      <c r="F69" s="62">
        <f t="shared" ca="1" si="59"/>
        <v>4047279.8653880488</v>
      </c>
      <c r="G69" s="62">
        <f t="shared" ca="1" si="59"/>
        <v>4047279.8653880488</v>
      </c>
      <c r="H69" s="62">
        <f t="shared" ca="1" si="59"/>
        <v>4047279.8653880488</v>
      </c>
      <c r="I69" s="62">
        <f t="shared" ca="1" si="59"/>
        <v>4047279.8653880488</v>
      </c>
      <c r="J69" s="62">
        <f t="shared" ca="1" si="59"/>
        <v>4047279.8653880488</v>
      </c>
      <c r="K69" s="62">
        <f t="shared" ca="1" si="59"/>
        <v>4047279.8653880488</v>
      </c>
      <c r="L69" s="62">
        <f t="shared" ca="1" si="59"/>
        <v>4047279.8653880488</v>
      </c>
      <c r="M69" s="62">
        <f t="shared" ca="1" si="59"/>
        <v>4047279.8653880488</v>
      </c>
      <c r="N69" s="62" t="str">
        <f t="shared" ca="1" si="59"/>
        <v/>
      </c>
      <c r="O69" s="62" t="str">
        <f t="shared" ca="1" si="59"/>
        <v/>
      </c>
      <c r="P69" s="62" t="str">
        <f t="shared" ca="1" si="59"/>
        <v/>
      </c>
      <c r="Q69" s="62" t="str">
        <f t="shared" ca="1" si="59"/>
        <v/>
      </c>
      <c r="R69" s="62" t="str">
        <f t="shared" ca="1" si="59"/>
        <v/>
      </c>
    </row>
    <row r="70" spans="2:18" hidden="1" outlineLevel="1" x14ac:dyDescent="0.25">
      <c r="B70">
        <f t="shared" ref="B70:B83" si="60">B69+1</f>
        <v>2</v>
      </c>
      <c r="D70" s="62" t="str">
        <f t="shared" ref="D70:D83" ca="1" si="61">IF($B70&gt;D$46,"",IF(D$46="","",IF(D$46=$B70,OFFSET($D$34,0,$B69)+OFFSET($D$31,0,$B69),OFFSET($D$34,0,$B69))))</f>
        <v/>
      </c>
      <c r="E70" s="62">
        <f t="shared" ref="E70:E83" ca="1" si="62">IF($B70&gt;E$46,"",IF(E$46="","",IF(E$46=$B70,OFFSET($D$34,0,$B69)+OFFSET($D$31,0,$B69),OFFSET($D$34,0,$B69))))</f>
        <v>76322438.420575961</v>
      </c>
      <c r="F70" s="62">
        <f t="shared" ref="F70:F83" ca="1" si="63">IF($B70&gt;F$46,"",IF(F$46="","",IF(F$46=$B70,OFFSET($D$34,0,$B69)+OFFSET($D$31,0,$B69),OFFSET($D$34,0,$B69))))</f>
        <v>4206017.3653880479</v>
      </c>
      <c r="G70" s="62">
        <f t="shared" ref="G70:G83" ca="1" si="64">IF($B70&gt;G$46,"",IF(G$46="","",IF(G$46=$B70,OFFSET($D$34,0,$B69)+OFFSET($D$31,0,$B69),OFFSET($D$34,0,$B69))))</f>
        <v>4206017.3653880479</v>
      </c>
      <c r="H70" s="62">
        <f t="shared" ref="H70:H83" ca="1" si="65">IF($B70&gt;H$46,"",IF(H$46="","",IF(H$46=$B70,OFFSET($D$34,0,$B69)+OFFSET($D$31,0,$B69),OFFSET($D$34,0,$B69))))</f>
        <v>4206017.3653880479</v>
      </c>
      <c r="I70" s="62">
        <f t="shared" ref="I70:I83" ca="1" si="66">IF($B70&gt;I$46,"",IF(I$46="","",IF(I$46=$B70,OFFSET($D$34,0,$B69)+OFFSET($D$31,0,$B69),OFFSET($D$34,0,$B69))))</f>
        <v>4206017.3653880479</v>
      </c>
      <c r="J70" s="62">
        <f t="shared" ref="J70:J83" ca="1" si="67">IF($B70&gt;J$46,"",IF(J$46="","",IF(J$46=$B70,OFFSET($D$34,0,$B69)+OFFSET($D$31,0,$B69),OFFSET($D$34,0,$B69))))</f>
        <v>4206017.3653880479</v>
      </c>
      <c r="K70" s="62">
        <f t="shared" ref="K70:K83" ca="1" si="68">IF($B70&gt;K$46,"",IF(K$46="","",IF(K$46=$B70,OFFSET($D$34,0,$B69)+OFFSET($D$31,0,$B69),OFFSET($D$34,0,$B69))))</f>
        <v>4206017.3653880479</v>
      </c>
      <c r="L70" s="62">
        <f t="shared" ref="L70:L83" ca="1" si="69">IF($B70&gt;L$46,"",IF(L$46="","",IF(L$46=$B70,OFFSET($D$34,0,$B69)+OFFSET($D$31,0,$B69),OFFSET($D$34,0,$B69))))</f>
        <v>4206017.3653880479</v>
      </c>
      <c r="M70" s="62">
        <f t="shared" ref="M70:M83" ca="1" si="70">IF($B70&gt;M$46,"",IF(M$46="","",IF(M$46=$B70,OFFSET($D$34,0,$B69)+OFFSET($D$31,0,$B69),OFFSET($D$34,0,$B69))))</f>
        <v>4206017.3653880479</v>
      </c>
      <c r="N70" s="62" t="str">
        <f t="shared" ref="N70:N83" ca="1" si="71">IF($B70&gt;N$46,"",IF(N$46="","",IF(N$46=$B70,OFFSET($D$34,0,$B69)+OFFSET($D$31,0,$B69),OFFSET($D$34,0,$B69))))</f>
        <v/>
      </c>
      <c r="O70" s="62" t="str">
        <f t="shared" ref="O70:O83" ca="1" si="72">IF($B70&gt;O$46,"",IF(O$46="","",IF(O$46=$B70,OFFSET($D$34,0,$B69)+OFFSET($D$31,0,$B69),OFFSET($D$34,0,$B69))))</f>
        <v/>
      </c>
      <c r="P70" s="62" t="str">
        <f t="shared" ref="P70:P83" ca="1" si="73">IF($B70&gt;P$46,"",IF(P$46="","",IF(P$46=$B70,OFFSET($D$34,0,$B69)+OFFSET($D$31,0,$B69),OFFSET($D$34,0,$B69))))</f>
        <v/>
      </c>
      <c r="Q70" s="62" t="str">
        <f t="shared" ref="Q70:Q83" ca="1" si="74">IF($B70&gt;Q$46,"",IF(Q$46="","",IF(Q$46=$B70,OFFSET($D$34,0,$B69)+OFFSET($D$31,0,$B69),OFFSET($D$34,0,$B69))))</f>
        <v/>
      </c>
      <c r="R70" s="62" t="str">
        <f t="shared" ref="R70:R83" ca="1" si="75">IF($B70&gt;R$46,"",IF(R$46="","",IF(R$46=$B70,OFFSET($D$34,0,$B69)+OFFSET($D$31,0,$B69),OFFSET($D$34,0,$B69))))</f>
        <v/>
      </c>
    </row>
    <row r="71" spans="2:18" hidden="1" outlineLevel="1" x14ac:dyDescent="0.25">
      <c r="B71">
        <f t="shared" si="60"/>
        <v>3</v>
      </c>
      <c r="D71" s="62" t="str">
        <f t="shared" ca="1" si="61"/>
        <v/>
      </c>
      <c r="E71" s="62" t="str">
        <f t="shared" ca="1" si="62"/>
        <v/>
      </c>
      <c r="F71" s="62">
        <f t="shared" ca="1" si="63"/>
        <v>78709049.914757326</v>
      </c>
      <c r="G71" s="62">
        <f t="shared" ca="1" si="64"/>
        <v>4368723.302888047</v>
      </c>
      <c r="H71" s="62">
        <f t="shared" ca="1" si="65"/>
        <v>4368723.302888047</v>
      </c>
      <c r="I71" s="62">
        <f t="shared" ca="1" si="66"/>
        <v>4368723.302888047</v>
      </c>
      <c r="J71" s="62">
        <f t="shared" ca="1" si="67"/>
        <v>4368723.302888047</v>
      </c>
      <c r="K71" s="62">
        <f t="shared" ca="1" si="68"/>
        <v>4368723.302888047</v>
      </c>
      <c r="L71" s="62">
        <f t="shared" ca="1" si="69"/>
        <v>4368723.302888047</v>
      </c>
      <c r="M71" s="62">
        <f t="shared" ca="1" si="70"/>
        <v>4368723.302888047</v>
      </c>
      <c r="N71" s="62" t="str">
        <f t="shared" ca="1" si="71"/>
        <v/>
      </c>
      <c r="O71" s="62" t="str">
        <f t="shared" ca="1" si="72"/>
        <v/>
      </c>
      <c r="P71" s="62" t="str">
        <f t="shared" ca="1" si="73"/>
        <v/>
      </c>
      <c r="Q71" s="62" t="str">
        <f t="shared" ca="1" si="74"/>
        <v/>
      </c>
      <c r="R71" s="62" t="str">
        <f t="shared" ca="1" si="75"/>
        <v/>
      </c>
    </row>
    <row r="72" spans="2:18" hidden="1" outlineLevel="1" x14ac:dyDescent="0.25">
      <c r="B72">
        <f t="shared" si="60"/>
        <v>4</v>
      </c>
      <c r="D72" s="62" t="str">
        <f t="shared" ca="1" si="61"/>
        <v/>
      </c>
      <c r="E72" s="62" t="str">
        <f t="shared" ca="1" si="62"/>
        <v/>
      </c>
      <c r="F72" s="62" t="str">
        <f t="shared" ca="1" si="63"/>
        <v/>
      </c>
      <c r="G72" s="62">
        <f t="shared" ca="1" si="64"/>
        <v>81165246.941971123</v>
      </c>
      <c r="H72" s="62">
        <f t="shared" ca="1" si="65"/>
        <v>3792685.0063176723</v>
      </c>
      <c r="I72" s="62">
        <f t="shared" ca="1" si="66"/>
        <v>3792685.0063176723</v>
      </c>
      <c r="J72" s="62">
        <f t="shared" ca="1" si="67"/>
        <v>3792685.0063176723</v>
      </c>
      <c r="K72" s="62">
        <f t="shared" ca="1" si="68"/>
        <v>3792685.0063176723</v>
      </c>
      <c r="L72" s="62">
        <f t="shared" ca="1" si="69"/>
        <v>3792685.0063176723</v>
      </c>
      <c r="M72" s="62">
        <f t="shared" ca="1" si="70"/>
        <v>3792685.0063176723</v>
      </c>
      <c r="N72" s="62" t="str">
        <f t="shared" ca="1" si="71"/>
        <v/>
      </c>
      <c r="O72" s="62" t="str">
        <f t="shared" ca="1" si="72"/>
        <v/>
      </c>
      <c r="P72" s="62" t="str">
        <f t="shared" ca="1" si="73"/>
        <v/>
      </c>
      <c r="Q72" s="62" t="str">
        <f t="shared" ca="1" si="74"/>
        <v/>
      </c>
      <c r="R72" s="62" t="str">
        <f t="shared" ca="1" si="75"/>
        <v/>
      </c>
    </row>
    <row r="73" spans="2:18" hidden="1" outlineLevel="1" x14ac:dyDescent="0.25">
      <c r="B73">
        <f t="shared" si="60"/>
        <v>5</v>
      </c>
      <c r="D73" s="62" t="str">
        <f t="shared" ca="1" si="61"/>
        <v/>
      </c>
      <c r="E73" s="62" t="str">
        <f t="shared" ca="1" si="62"/>
        <v/>
      </c>
      <c r="F73" s="62" t="str">
        <f t="shared" ca="1" si="63"/>
        <v/>
      </c>
      <c r="G73" s="62" t="str">
        <f t="shared" ca="1" si="64"/>
        <v/>
      </c>
      <c r="H73" s="62">
        <f t="shared" ca="1" si="65"/>
        <v>84454476.139573708</v>
      </c>
      <c r="I73" s="62">
        <f t="shared" ca="1" si="66"/>
        <v>3963627.93190361</v>
      </c>
      <c r="J73" s="62">
        <f t="shared" ca="1" si="67"/>
        <v>3963627.93190361</v>
      </c>
      <c r="K73" s="62">
        <f t="shared" ca="1" si="68"/>
        <v>3963627.93190361</v>
      </c>
      <c r="L73" s="62">
        <f t="shared" ca="1" si="69"/>
        <v>3963627.93190361</v>
      </c>
      <c r="M73" s="62">
        <f t="shared" ca="1" si="70"/>
        <v>3963627.93190361</v>
      </c>
      <c r="N73" s="62" t="str">
        <f t="shared" ca="1" si="71"/>
        <v/>
      </c>
      <c r="O73" s="62" t="str">
        <f t="shared" ca="1" si="72"/>
        <v/>
      </c>
      <c r="P73" s="62" t="str">
        <f t="shared" ca="1" si="73"/>
        <v/>
      </c>
      <c r="Q73" s="62" t="str">
        <f t="shared" ca="1" si="74"/>
        <v/>
      </c>
      <c r="R73" s="62" t="str">
        <f t="shared" ca="1" si="75"/>
        <v/>
      </c>
    </row>
    <row r="74" spans="2:18" hidden="1" outlineLevel="1" x14ac:dyDescent="0.25">
      <c r="B74">
        <f t="shared" si="60"/>
        <v>6</v>
      </c>
      <c r="D74" s="62" t="str">
        <f t="shared" ca="1" si="61"/>
        <v/>
      </c>
      <c r="E74" s="62" t="str">
        <f t="shared" ca="1" si="62"/>
        <v/>
      </c>
      <c r="F74" s="62" t="str">
        <f t="shared" ca="1" si="63"/>
        <v/>
      </c>
      <c r="G74" s="62" t="str">
        <f t="shared" ca="1" si="64"/>
        <v/>
      </c>
      <c r="H74" s="62" t="str">
        <f t="shared" ca="1" si="65"/>
        <v/>
      </c>
      <c r="I74" s="62">
        <f t="shared" ca="1" si="66"/>
        <v>87836874.546629861</v>
      </c>
      <c r="J74" s="62">
        <f t="shared" ca="1" si="67"/>
        <v>4138844.4306291938</v>
      </c>
      <c r="K74" s="62">
        <f t="shared" ca="1" si="68"/>
        <v>4138844.4306291938</v>
      </c>
      <c r="L74" s="62">
        <f t="shared" ca="1" si="69"/>
        <v>4138844.4306291938</v>
      </c>
      <c r="M74" s="62">
        <f t="shared" ca="1" si="70"/>
        <v>4138844.4306291938</v>
      </c>
      <c r="N74" s="62" t="str">
        <f t="shared" ca="1" si="71"/>
        <v/>
      </c>
      <c r="O74" s="62" t="str">
        <f t="shared" ca="1" si="72"/>
        <v/>
      </c>
      <c r="P74" s="62" t="str">
        <f t="shared" ca="1" si="73"/>
        <v/>
      </c>
      <c r="Q74" s="62" t="str">
        <f t="shared" ca="1" si="74"/>
        <v/>
      </c>
      <c r="R74" s="62" t="str">
        <f t="shared" ca="1" si="75"/>
        <v/>
      </c>
    </row>
    <row r="75" spans="2:18" hidden="1" outlineLevel="1" x14ac:dyDescent="0.25">
      <c r="B75">
        <f t="shared" si="60"/>
        <v>7</v>
      </c>
      <c r="D75" s="62" t="str">
        <f t="shared" ca="1" si="61"/>
        <v/>
      </c>
      <c r="E75" s="62" t="str">
        <f t="shared" ca="1" si="62"/>
        <v/>
      </c>
      <c r="F75" s="62" t="str">
        <f t="shared" ca="1" si="63"/>
        <v/>
      </c>
      <c r="G75" s="62" t="str">
        <f t="shared" ca="1" si="64"/>
        <v/>
      </c>
      <c r="H75" s="62" t="str">
        <f t="shared" ca="1" si="65"/>
        <v/>
      </c>
      <c r="I75" s="62" t="str">
        <f t="shared" ca="1" si="66"/>
        <v/>
      </c>
      <c r="J75" s="62">
        <f t="shared" ca="1" si="67"/>
        <v>91315503.248102635</v>
      </c>
      <c r="K75" s="62">
        <f t="shared" ca="1" si="68"/>
        <v>4318441.3418229204</v>
      </c>
      <c r="L75" s="62">
        <f t="shared" ca="1" si="69"/>
        <v>4318441.3418229204</v>
      </c>
      <c r="M75" s="62">
        <f t="shared" ca="1" si="70"/>
        <v>4318441.3418229204</v>
      </c>
      <c r="N75" s="62" t="str">
        <f t="shared" ca="1" si="71"/>
        <v/>
      </c>
      <c r="O75" s="62" t="str">
        <f t="shared" ca="1" si="72"/>
        <v/>
      </c>
      <c r="P75" s="62" t="str">
        <f t="shared" ca="1" si="73"/>
        <v/>
      </c>
      <c r="Q75" s="62" t="str">
        <f t="shared" ca="1" si="74"/>
        <v/>
      </c>
      <c r="R75" s="62" t="str">
        <f t="shared" ca="1" si="75"/>
        <v/>
      </c>
    </row>
    <row r="76" spans="2:18" hidden="1" outlineLevel="1" x14ac:dyDescent="0.25">
      <c r="B76">
        <f t="shared" si="60"/>
        <v>8</v>
      </c>
      <c r="D76" s="62" t="str">
        <f t="shared" ca="1" si="61"/>
        <v/>
      </c>
      <c r="E76" s="62" t="str">
        <f t="shared" ca="1" si="62"/>
        <v/>
      </c>
      <c r="F76" s="62" t="str">
        <f t="shared" ca="1" si="63"/>
        <v/>
      </c>
      <c r="G76" s="62" t="str">
        <f t="shared" ca="1" si="64"/>
        <v/>
      </c>
      <c r="H76" s="62" t="str">
        <f t="shared" ca="1" si="65"/>
        <v/>
      </c>
      <c r="I76" s="62" t="str">
        <f t="shared" ca="1" si="66"/>
        <v/>
      </c>
      <c r="J76" s="62" t="str">
        <f t="shared" ca="1" si="67"/>
        <v/>
      </c>
      <c r="K76" s="62">
        <f t="shared" ca="1" si="68"/>
        <v>94893540.094673589</v>
      </c>
      <c r="L76" s="62">
        <f t="shared" ca="1" si="69"/>
        <v>4502528.1757964874</v>
      </c>
      <c r="M76" s="62">
        <f t="shared" ca="1" si="70"/>
        <v>4502528.1757964874</v>
      </c>
      <c r="N76" s="62" t="str">
        <f t="shared" ca="1" si="71"/>
        <v/>
      </c>
      <c r="O76" s="62" t="str">
        <f t="shared" ca="1" si="72"/>
        <v/>
      </c>
      <c r="P76" s="62" t="str">
        <f t="shared" ca="1" si="73"/>
        <v/>
      </c>
      <c r="Q76" s="62" t="str">
        <f t="shared" ca="1" si="74"/>
        <v/>
      </c>
      <c r="R76" s="62" t="str">
        <f t="shared" ca="1" si="75"/>
        <v/>
      </c>
    </row>
    <row r="77" spans="2:18" hidden="1" outlineLevel="1" x14ac:dyDescent="0.25">
      <c r="B77">
        <f t="shared" si="60"/>
        <v>9</v>
      </c>
      <c r="D77" s="62" t="str">
        <f t="shared" ca="1" si="61"/>
        <v/>
      </c>
      <c r="E77" s="62" t="str">
        <f t="shared" ca="1" si="62"/>
        <v/>
      </c>
      <c r="F77" s="62" t="str">
        <f t="shared" ca="1" si="63"/>
        <v/>
      </c>
      <c r="G77" s="62" t="str">
        <f t="shared" ca="1" si="64"/>
        <v/>
      </c>
      <c r="H77" s="62" t="str">
        <f t="shared" ca="1" si="65"/>
        <v/>
      </c>
      <c r="I77" s="62" t="str">
        <f t="shared" ca="1" si="66"/>
        <v/>
      </c>
      <c r="J77" s="62" t="str">
        <f t="shared" ca="1" si="67"/>
        <v/>
      </c>
      <c r="K77" s="62" t="str">
        <f t="shared" ca="1" si="68"/>
        <v/>
      </c>
      <c r="L77" s="62">
        <f t="shared" ca="1" si="69"/>
        <v>98574284.506081909</v>
      </c>
      <c r="M77" s="62">
        <f t="shared" ca="1" si="70"/>
        <v>4691217.1806193953</v>
      </c>
      <c r="N77" s="62" t="str">
        <f t="shared" ca="1" si="71"/>
        <v/>
      </c>
      <c r="O77" s="62" t="str">
        <f t="shared" ca="1" si="72"/>
        <v/>
      </c>
      <c r="P77" s="62" t="str">
        <f t="shared" ca="1" si="73"/>
        <v/>
      </c>
      <c r="Q77" s="62" t="str">
        <f t="shared" ca="1" si="74"/>
        <v/>
      </c>
      <c r="R77" s="62" t="str">
        <f t="shared" ca="1" si="75"/>
        <v/>
      </c>
    </row>
    <row r="78" spans="2:18" hidden="1" outlineLevel="1" x14ac:dyDescent="0.25">
      <c r="B78">
        <f t="shared" si="60"/>
        <v>10</v>
      </c>
      <c r="D78" s="62" t="str">
        <f t="shared" ca="1" si="61"/>
        <v/>
      </c>
      <c r="E78" s="62" t="str">
        <f t="shared" ca="1" si="62"/>
        <v/>
      </c>
      <c r="F78" s="62" t="str">
        <f t="shared" ca="1" si="63"/>
        <v/>
      </c>
      <c r="G78" s="62" t="str">
        <f t="shared" ca="1" si="64"/>
        <v/>
      </c>
      <c r="H78" s="62" t="str">
        <f t="shared" ca="1" si="65"/>
        <v/>
      </c>
      <c r="I78" s="62" t="str">
        <f t="shared" ca="1" si="66"/>
        <v/>
      </c>
      <c r="J78" s="62" t="str">
        <f t="shared" ca="1" si="67"/>
        <v/>
      </c>
      <c r="K78" s="62" t="str">
        <f t="shared" ca="1" si="68"/>
        <v/>
      </c>
      <c r="L78" s="62" t="str">
        <f t="shared" ca="1" si="69"/>
        <v/>
      </c>
      <c r="M78" s="62">
        <f t="shared" ca="1" si="70"/>
        <v>102361162.48439816</v>
      </c>
      <c r="N78" s="62" t="str">
        <f t="shared" ca="1" si="71"/>
        <v/>
      </c>
      <c r="O78" s="62" t="str">
        <f t="shared" ca="1" si="72"/>
        <v/>
      </c>
      <c r="P78" s="62" t="str">
        <f t="shared" ca="1" si="73"/>
        <v/>
      </c>
      <c r="Q78" s="62" t="str">
        <f t="shared" ca="1" si="74"/>
        <v/>
      </c>
      <c r="R78" s="62" t="str">
        <f t="shared" ca="1" si="75"/>
        <v/>
      </c>
    </row>
    <row r="79" spans="2:18" hidden="1" outlineLevel="1" x14ac:dyDescent="0.25">
      <c r="B79">
        <f t="shared" si="60"/>
        <v>11</v>
      </c>
      <c r="D79" s="62" t="str">
        <f t="shared" ca="1" si="61"/>
        <v/>
      </c>
      <c r="E79" s="62" t="str">
        <f t="shared" ca="1" si="62"/>
        <v/>
      </c>
      <c r="F79" s="62" t="str">
        <f t="shared" ca="1" si="63"/>
        <v/>
      </c>
      <c r="G79" s="62" t="str">
        <f t="shared" ca="1" si="64"/>
        <v/>
      </c>
      <c r="H79" s="62" t="str">
        <f t="shared" ca="1" si="65"/>
        <v/>
      </c>
      <c r="I79" s="62" t="str">
        <f t="shared" ca="1" si="66"/>
        <v/>
      </c>
      <c r="J79" s="62" t="str">
        <f t="shared" ca="1" si="67"/>
        <v/>
      </c>
      <c r="K79" s="62" t="str">
        <f t="shared" ca="1" si="68"/>
        <v/>
      </c>
      <c r="L79" s="62" t="str">
        <f t="shared" ca="1" si="69"/>
        <v/>
      </c>
      <c r="M79" s="62" t="str">
        <f t="shared" ca="1" si="70"/>
        <v/>
      </c>
      <c r="N79" s="62" t="str">
        <f t="shared" ca="1" si="71"/>
        <v/>
      </c>
      <c r="O79" s="62" t="str">
        <f t="shared" ca="1" si="72"/>
        <v/>
      </c>
      <c r="P79" s="62" t="str">
        <f t="shared" ca="1" si="73"/>
        <v/>
      </c>
      <c r="Q79" s="62" t="str">
        <f t="shared" ca="1" si="74"/>
        <v/>
      </c>
      <c r="R79" s="62" t="str">
        <f t="shared" ca="1" si="75"/>
        <v/>
      </c>
    </row>
    <row r="80" spans="2:18" hidden="1" outlineLevel="1" x14ac:dyDescent="0.25">
      <c r="B80">
        <f t="shared" si="60"/>
        <v>12</v>
      </c>
      <c r="D80" s="62" t="str">
        <f t="shared" ca="1" si="61"/>
        <v/>
      </c>
      <c r="E80" s="62" t="str">
        <f t="shared" ca="1" si="62"/>
        <v/>
      </c>
      <c r="F80" s="62" t="str">
        <f t="shared" ca="1" si="63"/>
        <v/>
      </c>
      <c r="G80" s="62" t="str">
        <f t="shared" ca="1" si="64"/>
        <v/>
      </c>
      <c r="H80" s="62" t="str">
        <f t="shared" ca="1" si="65"/>
        <v/>
      </c>
      <c r="I80" s="62" t="str">
        <f t="shared" ca="1" si="66"/>
        <v/>
      </c>
      <c r="J80" s="62" t="str">
        <f t="shared" ca="1" si="67"/>
        <v/>
      </c>
      <c r="K80" s="62" t="str">
        <f t="shared" ca="1" si="68"/>
        <v/>
      </c>
      <c r="L80" s="62" t="str">
        <f t="shared" ca="1" si="69"/>
        <v/>
      </c>
      <c r="M80" s="62" t="str">
        <f t="shared" ca="1" si="70"/>
        <v/>
      </c>
      <c r="N80" s="62" t="str">
        <f t="shared" ca="1" si="71"/>
        <v/>
      </c>
      <c r="O80" s="62" t="str">
        <f t="shared" ca="1" si="72"/>
        <v/>
      </c>
      <c r="P80" s="62" t="str">
        <f t="shared" ca="1" si="73"/>
        <v/>
      </c>
      <c r="Q80" s="62" t="str">
        <f t="shared" ca="1" si="74"/>
        <v/>
      </c>
      <c r="R80" s="62" t="str">
        <f t="shared" ca="1" si="75"/>
        <v/>
      </c>
    </row>
    <row r="81" spans="2:18" hidden="1" outlineLevel="1" x14ac:dyDescent="0.25">
      <c r="B81">
        <f t="shared" si="60"/>
        <v>13</v>
      </c>
      <c r="D81" s="62" t="str">
        <f t="shared" ca="1" si="61"/>
        <v/>
      </c>
      <c r="E81" s="62" t="str">
        <f t="shared" ca="1" si="62"/>
        <v/>
      </c>
      <c r="F81" s="62" t="str">
        <f t="shared" ca="1" si="63"/>
        <v/>
      </c>
      <c r="G81" s="62" t="str">
        <f t="shared" ca="1" si="64"/>
        <v/>
      </c>
      <c r="H81" s="62" t="str">
        <f t="shared" ca="1" si="65"/>
        <v/>
      </c>
      <c r="I81" s="62" t="str">
        <f t="shared" ca="1" si="66"/>
        <v/>
      </c>
      <c r="J81" s="62" t="str">
        <f t="shared" ca="1" si="67"/>
        <v/>
      </c>
      <c r="K81" s="62" t="str">
        <f t="shared" ca="1" si="68"/>
        <v/>
      </c>
      <c r="L81" s="62" t="str">
        <f t="shared" ca="1" si="69"/>
        <v/>
      </c>
      <c r="M81" s="62" t="str">
        <f t="shared" ca="1" si="70"/>
        <v/>
      </c>
      <c r="N81" s="62" t="str">
        <f t="shared" ca="1" si="71"/>
        <v/>
      </c>
      <c r="O81" s="62" t="str">
        <f t="shared" ca="1" si="72"/>
        <v/>
      </c>
      <c r="P81" s="62" t="str">
        <f t="shared" ca="1" si="73"/>
        <v/>
      </c>
      <c r="Q81" s="62" t="str">
        <f t="shared" ca="1" si="74"/>
        <v/>
      </c>
      <c r="R81" s="62" t="str">
        <f t="shared" ca="1" si="75"/>
        <v/>
      </c>
    </row>
    <row r="82" spans="2:18" hidden="1" outlineLevel="1" x14ac:dyDescent="0.25">
      <c r="B82">
        <f t="shared" si="60"/>
        <v>14</v>
      </c>
      <c r="D82" s="62" t="str">
        <f t="shared" ca="1" si="61"/>
        <v/>
      </c>
      <c r="E82" s="62" t="str">
        <f t="shared" ca="1" si="62"/>
        <v/>
      </c>
      <c r="F82" s="62" t="str">
        <f t="shared" ca="1" si="63"/>
        <v/>
      </c>
      <c r="G82" s="62" t="str">
        <f t="shared" ca="1" si="64"/>
        <v/>
      </c>
      <c r="H82" s="62" t="str">
        <f t="shared" ca="1" si="65"/>
        <v/>
      </c>
      <c r="I82" s="62" t="str">
        <f t="shared" ca="1" si="66"/>
        <v/>
      </c>
      <c r="J82" s="62" t="str">
        <f t="shared" ca="1" si="67"/>
        <v/>
      </c>
      <c r="K82" s="62" t="str">
        <f t="shared" ca="1" si="68"/>
        <v/>
      </c>
      <c r="L82" s="62" t="str">
        <f t="shared" ca="1" si="69"/>
        <v/>
      </c>
      <c r="M82" s="62" t="str">
        <f t="shared" ca="1" si="70"/>
        <v/>
      </c>
      <c r="N82" s="62" t="str">
        <f t="shared" ca="1" si="71"/>
        <v/>
      </c>
      <c r="O82" s="62" t="str">
        <f t="shared" ca="1" si="72"/>
        <v/>
      </c>
      <c r="P82" s="62" t="str">
        <f t="shared" ca="1" si="73"/>
        <v/>
      </c>
      <c r="Q82" s="62" t="str">
        <f t="shared" ca="1" si="74"/>
        <v/>
      </c>
      <c r="R82" s="62" t="str">
        <f t="shared" ca="1" si="75"/>
        <v/>
      </c>
    </row>
    <row r="83" spans="2:18" hidden="1" outlineLevel="1" x14ac:dyDescent="0.25">
      <c r="B83">
        <f t="shared" si="60"/>
        <v>15</v>
      </c>
      <c r="D83" s="62" t="str">
        <f t="shared" ca="1" si="61"/>
        <v/>
      </c>
      <c r="E83" s="62" t="str">
        <f t="shared" ca="1" si="62"/>
        <v/>
      </c>
      <c r="F83" s="62" t="str">
        <f t="shared" ca="1" si="63"/>
        <v/>
      </c>
      <c r="G83" s="62" t="str">
        <f t="shared" ca="1" si="64"/>
        <v/>
      </c>
      <c r="H83" s="62" t="str">
        <f t="shared" ca="1" si="65"/>
        <v/>
      </c>
      <c r="I83" s="62" t="str">
        <f t="shared" ca="1" si="66"/>
        <v/>
      </c>
      <c r="J83" s="62" t="str">
        <f t="shared" ca="1" si="67"/>
        <v/>
      </c>
      <c r="K83" s="62" t="str">
        <f t="shared" ca="1" si="68"/>
        <v/>
      </c>
      <c r="L83" s="62" t="str">
        <f t="shared" ca="1" si="69"/>
        <v/>
      </c>
      <c r="M83" s="62" t="str">
        <f t="shared" ca="1" si="70"/>
        <v/>
      </c>
      <c r="N83" s="62" t="str">
        <f t="shared" ca="1" si="71"/>
        <v/>
      </c>
      <c r="O83" s="62" t="str">
        <f t="shared" ca="1" si="72"/>
        <v/>
      </c>
      <c r="P83" s="62" t="str">
        <f t="shared" ca="1" si="73"/>
        <v/>
      </c>
      <c r="Q83" s="62" t="str">
        <f t="shared" ca="1" si="74"/>
        <v/>
      </c>
      <c r="R83" s="62" t="str">
        <f t="shared" ca="1" si="75"/>
        <v/>
      </c>
    </row>
    <row r="84" spans="2:18" collapsed="1" x14ac:dyDescent="0.25"/>
  </sheetData>
  <conditionalFormatting sqref="B4:R4">
    <cfRule type="expression" dxfId="24" priority="6">
      <formula>B4&lt;&gt;""</formula>
    </cfRule>
  </conditionalFormatting>
  <conditionalFormatting sqref="B4:R4">
    <cfRule type="expression" dxfId="23" priority="4">
      <formula>B$4&lt;&gt;""</formula>
    </cfRule>
    <cfRule type="expression" dxfId="22" priority="5">
      <formula>B$4=""</formula>
    </cfRule>
  </conditionalFormatting>
  <conditionalFormatting sqref="B2">
    <cfRule type="expression" dxfId="21" priority="3">
      <formula>B$4&lt;&gt;""</formula>
    </cfRule>
  </conditionalFormatting>
  <conditionalFormatting sqref="B4:Q40 B41:D41">
    <cfRule type="expression" dxfId="20" priority="2">
      <formula>B$4=""</formula>
    </cfRule>
  </conditionalFormatting>
  <conditionalFormatting sqref="E41:R41">
    <cfRule type="expression" dxfId="19" priority="1">
      <formula>E$4=""</formula>
    </cfRule>
  </conditionalFormatting>
  <pageMargins left="0.7" right="0.7" top="0.75" bottom="0.75" header="0.3" footer="0.3"/>
  <pageSetup scale="36" orientation="portrait" horizontalDpi="4294967294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B1:U114"/>
  <sheetViews>
    <sheetView showGridLines="0" zoomScale="85" zoomScaleNormal="85" workbookViewId="0"/>
  </sheetViews>
  <sheetFormatPr defaultRowHeight="15" outlineLevelRow="1" x14ac:dyDescent="0.25"/>
  <cols>
    <col min="1" max="1" width="2.85546875" customWidth="1"/>
    <col min="2" max="2" width="28.28515625" customWidth="1"/>
    <col min="3" max="3" width="12" style="55" customWidth="1"/>
    <col min="4" max="10" width="14.85546875" style="1" bestFit="1" customWidth="1"/>
    <col min="11" max="11" width="14.42578125" style="1" bestFit="1" customWidth="1"/>
    <col min="12" max="13" width="15.28515625" style="1" bestFit="1" customWidth="1"/>
    <col min="14" max="14" width="13" style="1" bestFit="1" customWidth="1"/>
    <col min="15" max="18" width="11.5703125" bestFit="1" customWidth="1"/>
  </cols>
  <sheetData>
    <row r="1" spans="2:20" ht="15.75" thickBot="1" x14ac:dyDescent="0.3">
      <c r="C1"/>
    </row>
    <row r="2" spans="2:20" ht="16.5" thickBot="1" x14ac:dyDescent="0.3">
      <c r="B2" s="65" t="s">
        <v>64</v>
      </c>
      <c r="C2" s="6"/>
      <c r="D2" s="68" t="s">
        <v>65</v>
      </c>
      <c r="E2" s="188" t="s">
        <v>107</v>
      </c>
      <c r="F2" s="189"/>
      <c r="G2" s="66"/>
      <c r="H2" s="66"/>
      <c r="I2" s="66"/>
      <c r="J2" s="66"/>
      <c r="K2" s="66"/>
      <c r="L2" s="66"/>
      <c r="M2" s="66"/>
      <c r="N2" s="66"/>
      <c r="O2" s="11"/>
      <c r="P2" s="11"/>
      <c r="Q2" s="11"/>
      <c r="R2" s="11"/>
    </row>
    <row r="3" spans="2:20" s="1" customFormat="1" x14ac:dyDescent="0.25">
      <c r="B3" s="66"/>
      <c r="C3" s="66"/>
      <c r="D3" s="67">
        <v>1</v>
      </c>
      <c r="E3" s="67">
        <f>IF(OR(D3="",D3=Analysis_Period),"",D3+1)</f>
        <v>2</v>
      </c>
      <c r="F3" s="67">
        <f t="shared" ref="F3:R3" si="0">IF(OR(E3="",E3=Cap_Year),"",E3+1)</f>
        <v>3</v>
      </c>
      <c r="G3" s="67">
        <f t="shared" si="0"/>
        <v>4</v>
      </c>
      <c r="H3" s="67">
        <f t="shared" si="0"/>
        <v>5</v>
      </c>
      <c r="I3" s="67">
        <f t="shared" si="0"/>
        <v>6</v>
      </c>
      <c r="J3" s="67">
        <f t="shared" si="0"/>
        <v>7</v>
      </c>
      <c r="K3" s="67">
        <f t="shared" si="0"/>
        <v>8</v>
      </c>
      <c r="L3" s="67">
        <f t="shared" si="0"/>
        <v>9</v>
      </c>
      <c r="M3" s="67">
        <f t="shared" si="0"/>
        <v>10</v>
      </c>
      <c r="N3" s="67">
        <f t="shared" si="0"/>
        <v>11</v>
      </c>
      <c r="O3" s="13" t="str">
        <f t="shared" si="0"/>
        <v/>
      </c>
      <c r="P3" s="13" t="str">
        <f t="shared" si="0"/>
        <v/>
      </c>
      <c r="Q3" s="13" t="str">
        <f t="shared" si="0"/>
        <v/>
      </c>
      <c r="R3" s="13" t="str">
        <f t="shared" si="0"/>
        <v/>
      </c>
      <c r="S3" s="9" t="str">
        <f>IF(OR(R3="",R3=Analysis_Period),"",R3+1)</f>
        <v/>
      </c>
      <c r="T3" s="9" t="str">
        <f>IF(OR(S3="",S3=Analysis_Period),"",S3+1)</f>
        <v/>
      </c>
    </row>
    <row r="4" spans="2:20" s="1" customFormat="1" x14ac:dyDescent="0.25">
      <c r="B4" s="40" t="s">
        <v>27</v>
      </c>
      <c r="C4" s="14" t="s">
        <v>19</v>
      </c>
      <c r="D4" s="15">
        <f>EOMONTH(Analysis_Start,11)</f>
        <v>42735</v>
      </c>
      <c r="E4" s="15">
        <f t="shared" ref="E4:R4" si="1">IF(E3="","",EOMONTH(Analysis_Start,(11*E3)+D3))</f>
        <v>43100</v>
      </c>
      <c r="F4" s="15">
        <f t="shared" si="1"/>
        <v>43465</v>
      </c>
      <c r="G4" s="15">
        <f t="shared" si="1"/>
        <v>43830</v>
      </c>
      <c r="H4" s="15">
        <f t="shared" si="1"/>
        <v>44196</v>
      </c>
      <c r="I4" s="15">
        <f t="shared" si="1"/>
        <v>44561</v>
      </c>
      <c r="J4" s="15">
        <f t="shared" si="1"/>
        <v>44926</v>
      </c>
      <c r="K4" s="15">
        <f t="shared" si="1"/>
        <v>45291</v>
      </c>
      <c r="L4" s="15">
        <f t="shared" si="1"/>
        <v>45657</v>
      </c>
      <c r="M4" s="15">
        <f t="shared" si="1"/>
        <v>46022</v>
      </c>
      <c r="N4" s="15">
        <f t="shared" si="1"/>
        <v>46387</v>
      </c>
      <c r="O4" s="15" t="str">
        <f t="shared" si="1"/>
        <v/>
      </c>
      <c r="P4" s="15" t="str">
        <f t="shared" si="1"/>
        <v/>
      </c>
      <c r="Q4" s="15" t="str">
        <f t="shared" si="1"/>
        <v/>
      </c>
      <c r="R4" s="15" t="str">
        <f t="shared" si="1"/>
        <v/>
      </c>
    </row>
    <row r="5" spans="2:20" collapsed="1" x14ac:dyDescent="0.25">
      <c r="B5" s="41" t="s">
        <v>28</v>
      </c>
      <c r="C5" s="69" t="str">
        <f>$E$2&amp;"EGR"</f>
        <v>Property Name #1EGR</v>
      </c>
      <c r="D5" s="42">
        <f>IF(Analysis_Period&gt;=D$3,HLOOKUP(D$4,CF_Table2,MATCH($C5,'Cash Flow'!$B$4:$B$129,0),FALSE),"")</f>
        <v>1500000</v>
      </c>
      <c r="E5" s="42">
        <f>IF(Analysis_Period&gt;=E$3,HLOOKUP(E$4,CF_Table2,MATCH($C5,'Cash Flow'!$B$4:$B$129,0),FALSE),"")</f>
        <v>1537499.9999999998</v>
      </c>
      <c r="F5" s="42">
        <f>IF(Analysis_Period&gt;=F$3,HLOOKUP(F$4,CF_Table2,MATCH($C5,'Cash Flow'!$B$4:$B$129,0),FALSE),"")</f>
        <v>1575937.4999999995</v>
      </c>
      <c r="G5" s="42">
        <f>IF(Analysis_Period&gt;=G$3,HLOOKUP(G$4,CF_Table2,MATCH($C5,'Cash Flow'!$B$4:$B$129,0),FALSE),"")</f>
        <v>1615335.9374999993</v>
      </c>
      <c r="H5" s="42">
        <f>IF(Analysis_Period&gt;=H$3,HLOOKUP(H$4,CF_Table2,MATCH($C5,'Cash Flow'!$B$4:$B$129,0),FALSE),"")</f>
        <v>1655719.3359374991</v>
      </c>
      <c r="I5" s="42">
        <f>IF(Analysis_Period&gt;=I$3,HLOOKUP(I$4,CF_Table2,MATCH($C5,'Cash Flow'!$B$4:$B$129,0),FALSE),"")</f>
        <v>1697112.3193359363</v>
      </c>
      <c r="J5" s="42">
        <f>IF(Analysis_Period&gt;=J$3,HLOOKUP(J$4,CF_Table2,MATCH($C5,'Cash Flow'!$B$4:$B$129,0),FALSE),"")</f>
        <v>1739540.1273193345</v>
      </c>
      <c r="K5" s="42">
        <f>IF(Analysis_Period&gt;=K$3,HLOOKUP(K$4,CF_Table2,MATCH($C5,'Cash Flow'!$B$4:$B$129,0),FALSE),"")</f>
        <v>1783028.6305023178</v>
      </c>
      <c r="L5" s="42">
        <f>IF(Analysis_Period&gt;=L$3,HLOOKUP(L$4,CF_Table2,MATCH($C5,'Cash Flow'!$B$4:$B$129,0),FALSE),"")</f>
        <v>1827604.3462648755</v>
      </c>
      <c r="M5" s="42">
        <f>IF(Analysis_Period&gt;=M$3,HLOOKUP(M$4,CF_Table2,MATCH($C5,'Cash Flow'!$B$4:$B$129,0),FALSE),"")</f>
        <v>1873294.4549214973</v>
      </c>
      <c r="N5" s="42" t="str">
        <f>IF(Analysis_Period&gt;=N$3,HLOOKUP(N$4,CF_Table2,MATCH($C5,'Cash Flow'!$B$4:$B$129,0),FALSE),"")</f>
        <v/>
      </c>
      <c r="O5" s="42" t="str">
        <f>IF(Analysis_Period&gt;=O$3,HLOOKUP(O$4,CF_Table2,MATCH($C5,'Cash Flow'!$B$4:$B$129,0),FALSE),"")</f>
        <v/>
      </c>
      <c r="P5" s="42" t="str">
        <f>IF(Analysis_Period&gt;=P$3,HLOOKUP(P$4,CF_Table2,MATCH($C5,'Cash Flow'!$B$4:$B$129,0),FALSE),"")</f>
        <v/>
      </c>
      <c r="Q5" s="42" t="str">
        <f>IF(Analysis_Period&gt;=Q$3,HLOOKUP(Q$4,CF_Table2,MATCH($C5,'Cash Flow'!$B$4:$B$129,0),FALSE),"")</f>
        <v/>
      </c>
      <c r="R5" s="42" t="str">
        <f>IF(Analysis_Period&gt;=R$3,HLOOKUP(R$4,CF_Table2,MATCH($C5,'Cash Flow'!$B$4:$B$129,0),FALSE),"")</f>
        <v/>
      </c>
    </row>
    <row r="6" spans="2:20" x14ac:dyDescent="0.25">
      <c r="B6" s="19" t="s">
        <v>29</v>
      </c>
      <c r="C6" s="69"/>
      <c r="D6" s="43">
        <f>IF(D5="","",D7-D5)</f>
        <v>-255000</v>
      </c>
      <c r="E6" s="43">
        <f t="shared" ref="E6:R6" si="2">IF(E5="","",E7-E5)</f>
        <v>-261375</v>
      </c>
      <c r="F6" s="43">
        <f t="shared" si="2"/>
        <v>-267909.375</v>
      </c>
      <c r="G6" s="43">
        <f t="shared" si="2"/>
        <v>-274607.109375</v>
      </c>
      <c r="H6" s="43">
        <f t="shared" si="2"/>
        <v>-281472.287109375</v>
      </c>
      <c r="I6" s="43">
        <f t="shared" si="2"/>
        <v>-288509.09428710933</v>
      </c>
      <c r="J6" s="43">
        <f t="shared" si="2"/>
        <v>-295721.82164428686</v>
      </c>
      <c r="K6" s="43">
        <f t="shared" si="2"/>
        <v>-303114.86718539405</v>
      </c>
      <c r="L6" s="43">
        <f t="shared" si="2"/>
        <v>-310692.73886502883</v>
      </c>
      <c r="M6" s="43">
        <f t="shared" si="2"/>
        <v>-318460.05733665451</v>
      </c>
      <c r="N6" s="43" t="str">
        <f t="shared" si="2"/>
        <v/>
      </c>
      <c r="O6" s="43" t="str">
        <f t="shared" si="2"/>
        <v/>
      </c>
      <c r="P6" s="43" t="str">
        <f t="shared" si="2"/>
        <v/>
      </c>
      <c r="Q6" s="43" t="str">
        <f t="shared" si="2"/>
        <v/>
      </c>
      <c r="R6" s="43" t="str">
        <f t="shared" si="2"/>
        <v/>
      </c>
    </row>
    <row r="7" spans="2:20" x14ac:dyDescent="0.25">
      <c r="B7" s="41" t="s">
        <v>30</v>
      </c>
      <c r="C7" s="69" t="str">
        <f>$E$2&amp;"NOI"</f>
        <v>Property Name #1NOI</v>
      </c>
      <c r="D7" s="42">
        <f>HLOOKUP(D$4,CF_Table2,MATCH($C7,'Cash Flow'!$B$4:$B$129,0),FALSE)</f>
        <v>1245000</v>
      </c>
      <c r="E7" s="42">
        <f>HLOOKUP(E$4,CF_Table2,MATCH($C7,'Cash Flow'!$B$4:$B$129,0),FALSE)</f>
        <v>1276124.9999999998</v>
      </c>
      <c r="F7" s="42">
        <f>HLOOKUP(F$4,CF_Table2,MATCH($C7,'Cash Flow'!$B$4:$B$129,0),FALSE)</f>
        <v>1308028.1249999995</v>
      </c>
      <c r="G7" s="42">
        <f>HLOOKUP(G$4,CF_Table2,MATCH($C7,'Cash Flow'!$B$4:$B$129,0),FALSE)</f>
        <v>1340728.8281249993</v>
      </c>
      <c r="H7" s="42">
        <f>HLOOKUP(H$4,CF_Table2,MATCH($C7,'Cash Flow'!$B$4:$B$129,0),FALSE)</f>
        <v>1374247.0488281241</v>
      </c>
      <c r="I7" s="42">
        <f>HLOOKUP(I$4,CF_Table2,MATCH($C7,'Cash Flow'!$B$4:$B$129,0),FALSE)</f>
        <v>1408603.225048827</v>
      </c>
      <c r="J7" s="42">
        <f>HLOOKUP(J$4,CF_Table2,MATCH($C7,'Cash Flow'!$B$4:$B$129,0),FALSE)</f>
        <v>1443818.3056750477</v>
      </c>
      <c r="K7" s="42">
        <f>HLOOKUP(K$4,CF_Table2,MATCH($C7,'Cash Flow'!$B$4:$B$129,0),FALSE)</f>
        <v>1479913.7633169238</v>
      </c>
      <c r="L7" s="42">
        <f>HLOOKUP(L$4,CF_Table2,MATCH($C7,'Cash Flow'!$B$4:$B$129,0),FALSE)</f>
        <v>1516911.6073998467</v>
      </c>
      <c r="M7" s="42">
        <f>HLOOKUP(M$4,CF_Table2,MATCH($C7,'Cash Flow'!$B$4:$B$129,0),FALSE)</f>
        <v>1554834.3975848428</v>
      </c>
      <c r="N7" s="42">
        <f>HLOOKUP(N$4,CF_Table2,MATCH($C7,'Cash Flow'!$B$4:$B$129,0),FALSE)</f>
        <v>1593705.2575244636</v>
      </c>
      <c r="O7" s="42">
        <f>HLOOKUP(O$4,CF_Table2,MATCH($C7,'Cash Flow'!$B$4:$B$129,0),FALSE)</f>
        <v>1633547.888962575</v>
      </c>
      <c r="P7" s="42">
        <f>HLOOKUP(P$4,CF_Table2,MATCH($C7,'Cash Flow'!$B$4:$B$129,0),FALSE)</f>
        <v>1633547.888962575</v>
      </c>
      <c r="Q7" s="42">
        <f>HLOOKUP(Q$4,CF_Table2,MATCH($C7,'Cash Flow'!$B$4:$B$129,0),FALSE)</f>
        <v>1633547.888962575</v>
      </c>
      <c r="R7" s="42">
        <f>HLOOKUP(R$4,CF_Table2,MATCH($C7,'Cash Flow'!$B$4:$B$129,0),FALSE)</f>
        <v>1633547.888962575</v>
      </c>
    </row>
    <row r="8" spans="2:20" x14ac:dyDescent="0.25">
      <c r="B8" s="19" t="s">
        <v>31</v>
      </c>
      <c r="C8" s="70"/>
      <c r="D8" s="43">
        <f t="shared" ref="D8:R8" si="3">IF(D5="","",D9-D7)</f>
        <v>-186750</v>
      </c>
      <c r="E8" s="43">
        <f t="shared" si="3"/>
        <v>-191418.75</v>
      </c>
      <c r="F8" s="43">
        <f t="shared" si="3"/>
        <v>-196204.21875</v>
      </c>
      <c r="G8" s="43">
        <f t="shared" si="3"/>
        <v>-201109.32421875</v>
      </c>
      <c r="H8" s="43">
        <f t="shared" si="3"/>
        <v>-206137.05732421856</v>
      </c>
      <c r="I8" s="43">
        <f t="shared" si="3"/>
        <v>-211290.48375732405</v>
      </c>
      <c r="J8" s="43">
        <f t="shared" si="3"/>
        <v>-216572.74585125712</v>
      </c>
      <c r="K8" s="43">
        <f t="shared" si="3"/>
        <v>-221987.06449753861</v>
      </c>
      <c r="L8" s="43">
        <f t="shared" si="3"/>
        <v>-227536.74110997701</v>
      </c>
      <c r="M8" s="43">
        <f t="shared" si="3"/>
        <v>-233225.15963772638</v>
      </c>
      <c r="N8" s="43" t="str">
        <f t="shared" si="3"/>
        <v/>
      </c>
      <c r="O8" s="43" t="str">
        <f t="shared" si="3"/>
        <v/>
      </c>
      <c r="P8" s="43" t="str">
        <f t="shared" si="3"/>
        <v/>
      </c>
      <c r="Q8" s="43" t="str">
        <f t="shared" si="3"/>
        <v/>
      </c>
      <c r="R8" s="43" t="str">
        <f t="shared" si="3"/>
        <v/>
      </c>
    </row>
    <row r="9" spans="2:20" x14ac:dyDescent="0.25">
      <c r="B9" s="41" t="s">
        <v>32</v>
      </c>
      <c r="C9" s="69" t="str">
        <f>$E$2&amp;"CFO"</f>
        <v>Property Name #1CFO</v>
      </c>
      <c r="D9" s="42">
        <f>IF(Analysis_Period&gt;=D$3,HLOOKUP(D$4,CF_Table2,MATCH($C9,'Cash Flow'!$B$4:$B$129,0),FALSE),"")</f>
        <v>1058250</v>
      </c>
      <c r="E9" s="42">
        <f>IF(Analysis_Period&gt;=E$3,HLOOKUP(E$4,CF_Table2,MATCH($C9,'Cash Flow'!$B$4:$B$129,0),FALSE),"")</f>
        <v>1084706.2499999998</v>
      </c>
      <c r="F9" s="42">
        <f>IF(Analysis_Period&gt;=F$3,HLOOKUP(F$4,CF_Table2,MATCH($C9,'Cash Flow'!$B$4:$B$129,0),FALSE),"")</f>
        <v>1111823.9062499995</v>
      </c>
      <c r="G9" s="42">
        <f>IF(Analysis_Period&gt;=G$3,HLOOKUP(G$4,CF_Table2,MATCH($C9,'Cash Flow'!$B$4:$B$129,0),FALSE),"")</f>
        <v>1139619.5039062493</v>
      </c>
      <c r="H9" s="42">
        <f>IF(Analysis_Period&gt;=H$3,HLOOKUP(H$4,CF_Table2,MATCH($C9,'Cash Flow'!$B$4:$B$129,0),FALSE),"")</f>
        <v>1168109.9915039055</v>
      </c>
      <c r="I9" s="42">
        <f>IF(Analysis_Period&gt;=I$3,HLOOKUP(I$4,CF_Table2,MATCH($C9,'Cash Flow'!$B$4:$B$129,0),FALSE),"")</f>
        <v>1197312.741291503</v>
      </c>
      <c r="J9" s="42">
        <f>IF(Analysis_Period&gt;=J$3,HLOOKUP(J$4,CF_Table2,MATCH($C9,'Cash Flow'!$B$4:$B$129,0),FALSE),"")</f>
        <v>1227245.5598237906</v>
      </c>
      <c r="K9" s="42">
        <f>IF(Analysis_Period&gt;=K$3,HLOOKUP(K$4,CF_Table2,MATCH($C9,'Cash Flow'!$B$4:$B$129,0),FALSE),"")</f>
        <v>1257926.6988193851</v>
      </c>
      <c r="L9" s="42">
        <f>IF(Analysis_Period&gt;=L$3,HLOOKUP(L$4,CF_Table2,MATCH($C9,'Cash Flow'!$B$4:$B$129,0),FALSE),"")</f>
        <v>1289374.8662898696</v>
      </c>
      <c r="M9" s="42">
        <f>IF(Analysis_Period&gt;=M$3,HLOOKUP(M$4,CF_Table2,MATCH($C9,'Cash Flow'!$B$4:$B$129,0),FALSE),"")</f>
        <v>1321609.2379471164</v>
      </c>
      <c r="N9" s="42" t="str">
        <f>IF(Analysis_Period&gt;=N$3,HLOOKUP(N$4,CF_Table2,MATCH($C9,'Cash Flow'!$B$4:$B$129,0),FALSE),"")</f>
        <v/>
      </c>
      <c r="O9" s="42" t="str">
        <f>IF(Analysis_Period&gt;=O$3,HLOOKUP(O$4,CF_Table2,MATCH($C9,'Cash Flow'!$B$4:$B$129,0),FALSE),"")</f>
        <v/>
      </c>
      <c r="P9" s="42" t="str">
        <f>IF(Analysis_Period&gt;=P$3,HLOOKUP(P$4,CF_Table2,MATCH($C9,'Cash Flow'!$B$4:$B$129,0),FALSE),"")</f>
        <v/>
      </c>
      <c r="Q9" s="42" t="str">
        <f>IF(Analysis_Period&gt;=Q$3,HLOOKUP(Q$4,CF_Table2,MATCH($C9,'Cash Flow'!$B$4:$B$129,0),FALSE),"")</f>
        <v/>
      </c>
      <c r="R9" s="42" t="str">
        <f>IF(Analysis_Period&gt;=R$3,HLOOKUP(R$4,CF_Table2,MATCH($C9,'Cash Flow'!$B$4:$B$129,0),FALSE),"")</f>
        <v/>
      </c>
    </row>
    <row r="10" spans="2:20" x14ac:dyDescent="0.25">
      <c r="B10" s="11"/>
      <c r="C10" s="70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17"/>
      <c r="P10" s="17"/>
      <c r="Q10" s="17"/>
      <c r="R10" s="17"/>
    </row>
    <row r="11" spans="2:20" x14ac:dyDescent="0.25">
      <c r="B11" s="11" t="s">
        <v>33</v>
      </c>
      <c r="C11" s="70"/>
      <c r="D11" s="47">
        <f>Exit_Cap_Yr_1</f>
        <v>6.5000000000000002E-2</v>
      </c>
      <c r="E11" s="47">
        <f>IF(E5="","",D11+'Portfolio Summary'!$D$8/10000)</f>
        <v>6.5500000000000003E-2</v>
      </c>
      <c r="F11" s="47">
        <f>IF(F5="","",E11+'Portfolio Summary'!$D$8/10000)</f>
        <v>6.6000000000000003E-2</v>
      </c>
      <c r="G11" s="47">
        <f>IF(G5="","",F11+'Portfolio Summary'!$D$8/10000)</f>
        <v>6.6500000000000004E-2</v>
      </c>
      <c r="H11" s="47">
        <f>IF(H5="","",G11+'Portfolio Summary'!$D$8/10000)</f>
        <v>6.7000000000000004E-2</v>
      </c>
      <c r="I11" s="47">
        <f>IF(I5="","",H11+'Portfolio Summary'!$D$8/10000)</f>
        <v>6.7500000000000004E-2</v>
      </c>
      <c r="J11" s="47">
        <f>IF(J5="","",I11+'Portfolio Summary'!$D$8/10000)</f>
        <v>6.8000000000000005E-2</v>
      </c>
      <c r="K11" s="47">
        <f>IF(K5="","",J11+'Portfolio Summary'!$D$8/10000)</f>
        <v>6.8500000000000005E-2</v>
      </c>
      <c r="L11" s="47">
        <f>IF(L5="","",K11+'Portfolio Summary'!$D$8/10000)</f>
        <v>6.9000000000000006E-2</v>
      </c>
      <c r="M11" s="47">
        <f>IF(M5="","",L11+'Portfolio Summary'!$D$8/10000)</f>
        <v>6.9500000000000006E-2</v>
      </c>
      <c r="N11" s="47" t="str">
        <f>IF(N5="","",M11+'Portfolio Summary'!$D$8/10000)</f>
        <v/>
      </c>
      <c r="O11" s="47" t="str">
        <f>IF(O5="","",N11+'Portfolio Summary'!$D$8/10000)</f>
        <v/>
      </c>
      <c r="P11" s="47" t="str">
        <f>IF(P5="","",O11+'Portfolio Summary'!$D$8/10000)</f>
        <v/>
      </c>
      <c r="Q11" s="47" t="str">
        <f>IF(Q5="","",P11+'Portfolio Summary'!$D$8/10000)</f>
        <v/>
      </c>
      <c r="R11" s="47" t="str">
        <f>IF(R5="","",Q11+'Portfolio Summary'!$D$8/10000)</f>
        <v/>
      </c>
    </row>
    <row r="12" spans="2:20" x14ac:dyDescent="0.25">
      <c r="B12" s="11" t="s">
        <v>34</v>
      </c>
      <c r="C12" s="70"/>
      <c r="D12" s="48">
        <f t="shared" ref="D12:O12" si="4">IFERROR(HLOOKUP(Cap_Year-Analysis_Period+D3,$D$3:$R$9,5,FALSE)/D11,"")</f>
        <v>19632692.307692304</v>
      </c>
      <c r="E12" s="48">
        <f t="shared" si="4"/>
        <v>19969895.038167931</v>
      </c>
      <c r="F12" s="48">
        <f t="shared" si="4"/>
        <v>20314073.153409079</v>
      </c>
      <c r="G12" s="48">
        <f t="shared" si="4"/>
        <v>20665369.155310135</v>
      </c>
      <c r="H12" s="48">
        <f t="shared" si="4"/>
        <v>21023928.732072044</v>
      </c>
      <c r="I12" s="48">
        <f t="shared" si="4"/>
        <v>21389900.824815519</v>
      </c>
      <c r="J12" s="48">
        <f t="shared" si="4"/>
        <v>21763437.695837114</v>
      </c>
      <c r="K12" s="48">
        <f t="shared" si="4"/>
        <v>22144694.998537906</v>
      </c>
      <c r="L12" s="48">
        <f t="shared" si="4"/>
        <v>22533831.849055689</v>
      </c>
      <c r="M12" s="48">
        <f t="shared" si="4"/>
        <v>22931010.899632566</v>
      </c>
      <c r="N12" s="48" t="str">
        <f t="shared" si="4"/>
        <v/>
      </c>
      <c r="O12" s="48" t="str">
        <f t="shared" si="4"/>
        <v/>
      </c>
      <c r="P12" s="48" t="str">
        <f t="shared" ref="P12:R12" si="5">IFERROR(HLOOKUP(Cap_Year-Analysis_Period+P3,$D$3:$R$9,5,FALSE)/P11,"")</f>
        <v/>
      </c>
      <c r="Q12" s="48" t="str">
        <f t="shared" si="5"/>
        <v/>
      </c>
      <c r="R12" s="48" t="str">
        <f t="shared" si="5"/>
        <v/>
      </c>
    </row>
    <row r="13" spans="2:20" x14ac:dyDescent="0.25">
      <c r="B13" s="11" t="s">
        <v>35</v>
      </c>
      <c r="C13" s="56"/>
      <c r="D13" s="49">
        <f t="shared" ref="D13:R13" si="6">IFERROR(D12/Portfolio_SF,"")</f>
        <v>56.093406593406584</v>
      </c>
      <c r="E13" s="49">
        <f t="shared" si="6"/>
        <v>57.05684296619409</v>
      </c>
      <c r="F13" s="49">
        <f t="shared" si="6"/>
        <v>58.040209009740224</v>
      </c>
      <c r="G13" s="49">
        <f t="shared" si="6"/>
        <v>59.043911872314673</v>
      </c>
      <c r="H13" s="49">
        <f t="shared" si="6"/>
        <v>60.068367805920126</v>
      </c>
      <c r="I13" s="49">
        <f t="shared" si="6"/>
        <v>61.114002356615771</v>
      </c>
      <c r="J13" s="49">
        <f t="shared" si="6"/>
        <v>62.181250559534611</v>
      </c>
      <c r="K13" s="49">
        <f t="shared" si="6"/>
        <v>63.270557138679727</v>
      </c>
      <c r="L13" s="49">
        <f t="shared" si="6"/>
        <v>64.382376711587682</v>
      </c>
      <c r="M13" s="49">
        <f t="shared" si="6"/>
        <v>65.517173998950184</v>
      </c>
      <c r="N13" s="49" t="str">
        <f t="shared" si="6"/>
        <v/>
      </c>
      <c r="O13" s="49" t="str">
        <f t="shared" si="6"/>
        <v/>
      </c>
      <c r="P13" s="49" t="str">
        <f t="shared" si="6"/>
        <v/>
      </c>
      <c r="Q13" s="49" t="str">
        <f t="shared" si="6"/>
        <v/>
      </c>
      <c r="R13" s="49" t="str">
        <f t="shared" si="6"/>
        <v/>
      </c>
    </row>
    <row r="14" spans="2:20" x14ac:dyDescent="0.25">
      <c r="B14" s="11"/>
      <c r="C14" s="70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17"/>
      <c r="P14" s="17"/>
      <c r="Q14" s="17"/>
      <c r="R14" s="17"/>
    </row>
    <row r="15" spans="2:20" x14ac:dyDescent="0.25">
      <c r="B15" s="11" t="s">
        <v>40</v>
      </c>
      <c r="C15" s="70"/>
      <c r="D15" s="48">
        <f>D9</f>
        <v>1058250</v>
      </c>
      <c r="E15" s="48">
        <f t="shared" ref="E15:R15" si="7">E9</f>
        <v>1084706.2499999998</v>
      </c>
      <c r="F15" s="48">
        <f t="shared" si="7"/>
        <v>1111823.9062499995</v>
      </c>
      <c r="G15" s="48">
        <f t="shared" si="7"/>
        <v>1139619.5039062493</v>
      </c>
      <c r="H15" s="48">
        <f t="shared" si="7"/>
        <v>1168109.9915039055</v>
      </c>
      <c r="I15" s="48">
        <f t="shared" si="7"/>
        <v>1197312.741291503</v>
      </c>
      <c r="J15" s="48">
        <f t="shared" si="7"/>
        <v>1227245.5598237906</v>
      </c>
      <c r="K15" s="48">
        <f t="shared" si="7"/>
        <v>1257926.6988193851</v>
      </c>
      <c r="L15" s="48">
        <f t="shared" si="7"/>
        <v>1289374.8662898696</v>
      </c>
      <c r="M15" s="48">
        <f t="shared" si="7"/>
        <v>1321609.2379471164</v>
      </c>
      <c r="N15" s="48" t="str">
        <f t="shared" si="7"/>
        <v/>
      </c>
      <c r="O15" s="48" t="str">
        <f t="shared" si="7"/>
        <v/>
      </c>
      <c r="P15" s="48" t="str">
        <f t="shared" si="7"/>
        <v/>
      </c>
      <c r="Q15" s="48" t="str">
        <f t="shared" si="7"/>
        <v/>
      </c>
      <c r="R15" s="48" t="str">
        <f t="shared" si="7"/>
        <v/>
      </c>
    </row>
    <row r="16" spans="2:20" x14ac:dyDescent="0.25">
      <c r="B16" s="11" t="s">
        <v>36</v>
      </c>
      <c r="C16" s="70"/>
      <c r="D16" s="47">
        <f>IF(D9="","",D9/(-D78))</f>
        <v>6.9851485148514858E-2</v>
      </c>
      <c r="E16" s="47">
        <f t="shared" ref="E16:R16" si="8">IF(E9="","",E9/(-E78))</f>
        <v>7.1597772277227703E-2</v>
      </c>
      <c r="F16" s="47">
        <f t="shared" si="8"/>
        <v>7.338771658415838E-2</v>
      </c>
      <c r="G16" s="47">
        <f t="shared" si="8"/>
        <v>7.5222409498762327E-2</v>
      </c>
      <c r="H16" s="47">
        <f t="shared" si="8"/>
        <v>7.7102969736231389E-2</v>
      </c>
      <c r="I16" s="47">
        <f t="shared" si="8"/>
        <v>7.9030543979637158E-2</v>
      </c>
      <c r="J16" s="47">
        <f t="shared" si="8"/>
        <v>8.1006307579128092E-2</v>
      </c>
      <c r="K16" s="47">
        <f t="shared" si="8"/>
        <v>8.3031465268606275E-2</v>
      </c>
      <c r="L16" s="47">
        <f t="shared" si="8"/>
        <v>8.5107251900321423E-2</v>
      </c>
      <c r="M16" s="47">
        <f t="shared" si="8"/>
        <v>8.7234933197829462E-2</v>
      </c>
      <c r="N16" s="47" t="str">
        <f t="shared" si="8"/>
        <v/>
      </c>
      <c r="O16" s="47" t="str">
        <f t="shared" si="8"/>
        <v/>
      </c>
      <c r="P16" s="47" t="str">
        <f t="shared" si="8"/>
        <v/>
      </c>
      <c r="Q16" s="47" t="str">
        <f t="shared" si="8"/>
        <v/>
      </c>
      <c r="R16" s="47" t="str">
        <f t="shared" si="8"/>
        <v/>
      </c>
    </row>
    <row r="17" spans="2:18" x14ac:dyDescent="0.25">
      <c r="B17" s="19" t="s">
        <v>37</v>
      </c>
      <c r="C17" s="70"/>
      <c r="D17" s="47">
        <f>IF(D16="","",AVERAGE($D$16:D16))</f>
        <v>6.9851485148514858E-2</v>
      </c>
      <c r="E17" s="47">
        <f>IF(E16="","",AVERAGE($D$16:E16))</f>
        <v>7.0724628712871274E-2</v>
      </c>
      <c r="F17" s="47">
        <f>IF(F16="","",AVERAGE($D$16:F16))</f>
        <v>7.1612324669966976E-2</v>
      </c>
      <c r="G17" s="47">
        <f>IF(G16="","",AVERAGE($D$16:G16))</f>
        <v>7.2514845877165807E-2</v>
      </c>
      <c r="H17" s="47">
        <f>IF(H16="","",AVERAGE($D$16:H16))</f>
        <v>7.3432470648978926E-2</v>
      </c>
      <c r="I17" s="47">
        <f>IF(I16="","",AVERAGE($D$16:I16))</f>
        <v>7.4365482870755298E-2</v>
      </c>
      <c r="J17" s="47">
        <f>IF(J16="","",AVERAGE($D$16:J16))</f>
        <v>7.531417211480855E-2</v>
      </c>
      <c r="K17" s="47">
        <f>IF(K16="","",AVERAGE($D$16:K16))</f>
        <v>7.6278833759033271E-2</v>
      </c>
      <c r="L17" s="47">
        <f>IF(L16="","",AVERAGE($D$16:L16))</f>
        <v>7.7259769108065285E-2</v>
      </c>
      <c r="M17" s="47">
        <f>IF(M16="","",AVERAGE($D$16:M16))</f>
        <v>7.8257285517041711E-2</v>
      </c>
      <c r="N17" s="47" t="str">
        <f>IF(N16="","",AVERAGE($D$16:N16))</f>
        <v/>
      </c>
      <c r="O17" s="47" t="str">
        <f>IF(O16="","",AVERAGE($D$16:O16))</f>
        <v/>
      </c>
      <c r="P17" s="47" t="str">
        <f>IF(P16="","",AVERAGE($D$16:P16))</f>
        <v/>
      </c>
      <c r="Q17" s="47" t="str">
        <f>IF(Q16="","",AVERAGE($D$16:Q16))</f>
        <v/>
      </c>
      <c r="R17" s="47" t="str">
        <f>IF(R16="","",AVERAGE($D$16:R16))</f>
        <v/>
      </c>
    </row>
    <row r="18" spans="2:18" x14ac:dyDescent="0.25">
      <c r="B18" s="11"/>
      <c r="C18" s="70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17"/>
      <c r="P18" s="17"/>
      <c r="Q18" s="17"/>
      <c r="R18" s="17"/>
    </row>
    <row r="19" spans="2:18" x14ac:dyDescent="0.25">
      <c r="B19" s="11" t="s">
        <v>41</v>
      </c>
      <c r="C19" s="56"/>
      <c r="D19" s="47">
        <f t="shared" ref="D19:M19" ca="1" si="9">D77</f>
        <v>0.36573876618431034</v>
      </c>
      <c r="E19" s="47">
        <f t="shared" ca="1" si="9"/>
        <v>0.21431646102992485</v>
      </c>
      <c r="F19" s="47">
        <f t="shared" ca="1" si="9"/>
        <v>0.1679368194771067</v>
      </c>
      <c r="G19" s="47">
        <f t="shared" ca="1" si="9"/>
        <v>0.14558901680387271</v>
      </c>
      <c r="H19" s="47">
        <f t="shared" ca="1" si="9"/>
        <v>0.13251717993352918</v>
      </c>
      <c r="I19" s="47">
        <f t="shared" ca="1" si="9"/>
        <v>0.12399058056620027</v>
      </c>
      <c r="J19" s="47">
        <f t="shared" ca="1" si="9"/>
        <v>0.11802646220499069</v>
      </c>
      <c r="K19" s="47">
        <f t="shared" ca="1" si="9"/>
        <v>0.11364785303934455</v>
      </c>
      <c r="L19" s="47">
        <f t="shared" ca="1" si="9"/>
        <v>0.11031760663878765</v>
      </c>
      <c r="M19" s="47">
        <f t="shared" ca="1" si="9"/>
        <v>0.10771593322326689</v>
      </c>
      <c r="N19" s="47" t="str">
        <f t="shared" ref="N19:R19" si="10">N77</f>
        <v/>
      </c>
      <c r="O19" s="47" t="str">
        <f t="shared" si="10"/>
        <v/>
      </c>
      <c r="P19" s="47" t="str">
        <f t="shared" si="10"/>
        <v/>
      </c>
      <c r="Q19" s="47" t="str">
        <f t="shared" si="10"/>
        <v/>
      </c>
      <c r="R19" s="47" t="str">
        <f t="shared" si="10"/>
        <v/>
      </c>
    </row>
    <row r="20" spans="2:18" x14ac:dyDescent="0.25">
      <c r="B20" s="11" t="s">
        <v>50</v>
      </c>
      <c r="C20" s="70"/>
      <c r="D20" s="57">
        <f>IFERROR((SUMIF($D$15:D15,"&gt;0")+D12)/(-D78),"")</f>
        <v>1.3657387661843106</v>
      </c>
      <c r="E20" s="57">
        <f>IFERROR((SUMIF($D$15:E15,"&gt;0")+E12)/(-E78),"")</f>
        <v>1.4595941444335268</v>
      </c>
      <c r="F20" s="57">
        <f>IFERROR((SUMIF($D$15:F15,"&gt;0")+F12)/(-F78),"")</f>
        <v>1.5556998884263418</v>
      </c>
      <c r="G20" s="57">
        <f>IFERROR((SUMIF($D$15:G15,"&gt;0")+G12)/(-G78),"")</f>
        <v>1.6541101528360651</v>
      </c>
      <c r="H20" s="57">
        <f>IFERROR((SUMIF($D$15:H15,"&gt;0")+H12)/(-H78),"")</f>
        <v>1.7548804213684621</v>
      </c>
      <c r="I20" s="57">
        <f>IFERROR((SUMIF($D$15:I15,"&gt;0")+I12)/(-I78),"")</f>
        <v>1.8580675391265464</v>
      </c>
      <c r="J20" s="57">
        <f>IFERROR((SUMIF($D$15:J15,"&gt;0")+J12)/(-J78),"")</f>
        <v>1.9637297457830074</v>
      </c>
      <c r="K20" s="57">
        <f>IFERROR((SUMIF($D$15:K15,"&gt;0")+K12)/(-K78),"")</f>
        <v>2.0719267095797185</v>
      </c>
      <c r="L20" s="57">
        <f>IFERROR((SUMIF($D$15:L15,"&gt;0")+L12)/(-L78),"")</f>
        <v>2.1827195621742836</v>
      </c>
      <c r="M20" s="57">
        <f>IFERROR((SUMIF($D$15:M15,"&gt;0")+M12)/(-M78),"")</f>
        <v>2.2961709343540844</v>
      </c>
      <c r="N20" s="57" t="str">
        <f>IFERROR((SUMIF($D$15:N15,"&gt;0")+N12)/(-N78),"")</f>
        <v/>
      </c>
      <c r="O20" s="57" t="str">
        <f>IFERROR((SUMIF($D$15:O15,"&gt;0")+O12)/(-O78),"")</f>
        <v/>
      </c>
      <c r="P20" s="57" t="str">
        <f>IFERROR((SUMIF($D$15:P15,"&gt;0")+P12)/(-P78),"")</f>
        <v/>
      </c>
      <c r="Q20" s="57" t="str">
        <f>IFERROR((SUMIF($D$15:Q15,"&gt;0")+Q12)/(-Q78),"")</f>
        <v/>
      </c>
      <c r="R20" s="57" t="str">
        <f>IFERROR((SUMIF($D$15:R15,"&gt;0")+R12)/(-R78),"")</f>
        <v/>
      </c>
    </row>
    <row r="21" spans="2:18" x14ac:dyDescent="0.25">
      <c r="B21" s="11"/>
      <c r="C21" s="70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17"/>
      <c r="P21" s="17"/>
      <c r="Q21" s="17"/>
      <c r="R21" s="17"/>
    </row>
    <row r="22" spans="2:18" x14ac:dyDescent="0.25">
      <c r="B22" s="11" t="s">
        <v>42</v>
      </c>
      <c r="C22" s="70"/>
      <c r="D22" s="47">
        <f ca="1">IFERROR(D17/D19,"")</f>
        <v>0.19098737024041337</v>
      </c>
      <c r="E22" s="47">
        <f t="shared" ref="E22:R22" ca="1" si="11">IFERROR(E17/E19,"")</f>
        <v>0.33000091720904279</v>
      </c>
      <c r="F22" s="47">
        <f t="shared" ca="1" si="11"/>
        <v>0.4264242046082648</v>
      </c>
      <c r="G22" s="47">
        <f t="shared" ca="1" si="11"/>
        <v>0.49807909599975325</v>
      </c>
      <c r="H22" s="47">
        <f t="shared" ca="1" si="11"/>
        <v>0.55413547651566963</v>
      </c>
      <c r="I22" s="47">
        <f t="shared" ca="1" si="11"/>
        <v>0.5997671962754505</v>
      </c>
      <c r="J22" s="47">
        <f t="shared" ca="1" si="11"/>
        <v>0.63811259532630416</v>
      </c>
      <c r="K22" s="47">
        <f t="shared" ca="1" si="11"/>
        <v>0.67118587565948795</v>
      </c>
      <c r="L22" s="47">
        <f t="shared" ca="1" si="11"/>
        <v>0.70033942415952277</v>
      </c>
      <c r="M22" s="47">
        <f t="shared" ca="1" si="11"/>
        <v>0.72651541118652219</v>
      </c>
      <c r="N22" s="47" t="str">
        <f t="shared" si="11"/>
        <v/>
      </c>
      <c r="O22" s="47" t="str">
        <f t="shared" si="11"/>
        <v/>
      </c>
      <c r="P22" s="47" t="str">
        <f t="shared" si="11"/>
        <v/>
      </c>
      <c r="Q22" s="47" t="str">
        <f t="shared" si="11"/>
        <v/>
      </c>
      <c r="R22" s="47" t="str">
        <f t="shared" si="11"/>
        <v/>
      </c>
    </row>
    <row r="23" spans="2:18" x14ac:dyDescent="0.25">
      <c r="B23" s="11" t="s">
        <v>43</v>
      </c>
      <c r="C23" s="70"/>
      <c r="D23" s="47">
        <f ca="1">IFERROR(1-D22,"")</f>
        <v>0.80901262975958665</v>
      </c>
      <c r="E23" s="47">
        <f t="shared" ref="E23:R23" ca="1" si="12">IFERROR(1-E22,"")</f>
        <v>0.66999908279095721</v>
      </c>
      <c r="F23" s="47">
        <f t="shared" ca="1" si="12"/>
        <v>0.5735757953917352</v>
      </c>
      <c r="G23" s="47">
        <f t="shared" ca="1" si="12"/>
        <v>0.5019209040002468</v>
      </c>
      <c r="H23" s="47">
        <f t="shared" ca="1" si="12"/>
        <v>0.44586452348433037</v>
      </c>
      <c r="I23" s="47">
        <f t="shared" ca="1" si="12"/>
        <v>0.4002328037245495</v>
      </c>
      <c r="J23" s="47">
        <f t="shared" ca="1" si="12"/>
        <v>0.36188740467369584</v>
      </c>
      <c r="K23" s="47">
        <f t="shared" ca="1" si="12"/>
        <v>0.32881412434051205</v>
      </c>
      <c r="L23" s="47">
        <f t="shared" ca="1" si="12"/>
        <v>0.29966057584047723</v>
      </c>
      <c r="M23" s="47">
        <f t="shared" ca="1" si="12"/>
        <v>0.27348458881347781</v>
      </c>
      <c r="N23" s="47" t="str">
        <f t="shared" si="12"/>
        <v/>
      </c>
      <c r="O23" s="47" t="str">
        <f t="shared" si="12"/>
        <v/>
      </c>
      <c r="P23" s="47" t="str">
        <f t="shared" si="12"/>
        <v/>
      </c>
      <c r="Q23" s="47" t="str">
        <f t="shared" si="12"/>
        <v/>
      </c>
      <c r="R23" s="47" t="str">
        <f t="shared" si="12"/>
        <v/>
      </c>
    </row>
    <row r="24" spans="2:18" collapsed="1" x14ac:dyDescent="0.25">
      <c r="B24" s="11"/>
      <c r="C24" s="56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36" t="e">
        <f>#REF!</f>
        <v>#REF!</v>
      </c>
      <c r="P24" s="36" t="e">
        <f>#REF!</f>
        <v>#REF!</v>
      </c>
      <c r="Q24" s="36" t="e">
        <f>#REF!</f>
        <v>#REF!</v>
      </c>
      <c r="R24" s="36" t="e">
        <f>#REF!</f>
        <v>#REF!</v>
      </c>
    </row>
    <row r="25" spans="2:18" x14ac:dyDescent="0.25">
      <c r="B25" s="11" t="s">
        <v>44</v>
      </c>
      <c r="C25" s="70" t="str">
        <f>Property&amp;B25</f>
        <v>Property Name #1Debt Service</v>
      </c>
      <c r="D25" s="42">
        <f>IF(Analysis_Period&gt;=D$3,HLOOKUP(D$4,Debt_Table2,MATCH($C25,Debt!$B$4:$B$98,0),FALSE),"")</f>
        <v>547220.13461195119</v>
      </c>
      <c r="E25" s="42">
        <f>IF(Analysis_Period&gt;=E$3,HLOOKUP(E$4,Debt_Table2,MATCH($C25,Debt!$B$4:$B$98,0),FALSE),"")</f>
        <v>547220.13461195119</v>
      </c>
      <c r="F25" s="42">
        <f>IF(Analysis_Period&gt;=F$3,HLOOKUP(F$4,Debt_Table2,MATCH($C25,Debt!$B$4:$B$98,0),FALSE),"")</f>
        <v>547220.13461195119</v>
      </c>
      <c r="G25" s="42">
        <f>IF(Analysis_Period&gt;=G$3,HLOOKUP(G$4,Debt_Table2,MATCH($C25,Debt!$B$4:$B$98,0),FALSE),"")</f>
        <v>547220.13461195119</v>
      </c>
      <c r="H25" s="42">
        <f>IF(Analysis_Period&gt;=H$3,HLOOKUP(H$4,Debt_Table2,MATCH($C25,Debt!$B$4:$B$98,0),FALSE),"")</f>
        <v>547220.13461195119</v>
      </c>
      <c r="I25" s="42">
        <f>IF(Analysis_Period&gt;=I$3,HLOOKUP(I$4,Debt_Table2,MATCH($C25,Debt!$B$4:$B$98,0),FALSE),"")</f>
        <v>547220.13461195119</v>
      </c>
      <c r="J25" s="42">
        <f>IF(Analysis_Period&gt;=J$3,HLOOKUP(J$4,Debt_Table2,MATCH($C25,Debt!$B$4:$B$98,0),FALSE),"")</f>
        <v>547220.13461195119</v>
      </c>
      <c r="K25" s="42">
        <f>IF(Analysis_Period&gt;=K$3,HLOOKUP(K$4,Debt_Table2,MATCH($C25,Debt!$B$4:$B$98,0),FALSE),"")</f>
        <v>547220.13461195119</v>
      </c>
      <c r="L25" s="42">
        <f>IF(Analysis_Period&gt;=L$3,HLOOKUP(L$4,Debt_Table2,MATCH($C25,Debt!$B$4:$B$98,0),FALSE),"")</f>
        <v>547220.13461195119</v>
      </c>
      <c r="M25" s="42">
        <f>IF(Analysis_Period&gt;=M$3,HLOOKUP(M$4,Debt_Table2,MATCH($C25,Debt!$B$4:$B$98,0),FALSE),"")</f>
        <v>547220.13461195119</v>
      </c>
      <c r="N25" s="42" t="str">
        <f>IF(Analysis_Period&gt;=N$3,HLOOKUP(N$4,Debt_Table2,MATCH($C25,Debt!$B$4:$B$98,0),FALSE),"")</f>
        <v/>
      </c>
      <c r="O25" s="42" t="str">
        <f>IF(Analysis_Period&gt;=O$3,HLOOKUP(O$4,Debt_Table2,MATCH($C25,Debt!$B$4:$B$98,0),FALSE),"")</f>
        <v/>
      </c>
      <c r="P25" s="42" t="str">
        <f>IF(Analysis_Period&gt;=P$3,HLOOKUP(P$4,Debt_Table2,MATCH($C25,Debt!$B$4:$B$98,0),FALSE),"")</f>
        <v/>
      </c>
      <c r="Q25" s="42" t="str">
        <f>IF(Analysis_Period&gt;=Q$3,HLOOKUP(Q$4,Debt_Table2,MATCH($C25,Debt!$B$4:$B$98,0),FALSE),"")</f>
        <v/>
      </c>
      <c r="R25" s="42" t="str">
        <f>IF(Analysis_Period&gt;=R$3,HLOOKUP(R$4,Debt_Table2,MATCH($C25,Debt!$B$4:$B$98,0),FALSE),"")</f>
        <v/>
      </c>
    </row>
    <row r="26" spans="2:18" x14ac:dyDescent="0.25">
      <c r="B26" s="11" t="s">
        <v>45</v>
      </c>
      <c r="C26" s="70"/>
      <c r="D26" s="57">
        <f>IFERROR(D7/D25,"")</f>
        <v>2.2751355830188222</v>
      </c>
      <c r="E26" s="57">
        <f t="shared" ref="E26:R26" si="13">IFERROR(E7/E25,"")</f>
        <v>2.3320139725942926</v>
      </c>
      <c r="F26" s="57">
        <f t="shared" si="13"/>
        <v>2.3903143219091492</v>
      </c>
      <c r="G26" s="57">
        <f t="shared" si="13"/>
        <v>2.4500721799568779</v>
      </c>
      <c r="H26" s="57">
        <f t="shared" si="13"/>
        <v>2.5113239844557991</v>
      </c>
      <c r="I26" s="57">
        <f t="shared" si="13"/>
        <v>2.5741070840671938</v>
      </c>
      <c r="J26" s="57">
        <f t="shared" si="13"/>
        <v>2.6384597611688738</v>
      </c>
      <c r="K26" s="57">
        <f t="shared" si="13"/>
        <v>2.7044212551980955</v>
      </c>
      <c r="L26" s="57">
        <f t="shared" si="13"/>
        <v>2.7720317865780473</v>
      </c>
      <c r="M26" s="57">
        <f t="shared" si="13"/>
        <v>2.8413325812424985</v>
      </c>
      <c r="N26" s="57" t="str">
        <f t="shared" si="13"/>
        <v/>
      </c>
      <c r="O26" s="57" t="str">
        <f t="shared" si="13"/>
        <v/>
      </c>
      <c r="P26" s="57" t="str">
        <f t="shared" si="13"/>
        <v/>
      </c>
      <c r="Q26" s="57" t="str">
        <f t="shared" si="13"/>
        <v/>
      </c>
      <c r="R26" s="57" t="str">
        <f t="shared" si="13"/>
        <v/>
      </c>
    </row>
    <row r="27" spans="2:18" x14ac:dyDescent="0.25">
      <c r="B27" s="11" t="s">
        <v>89</v>
      </c>
      <c r="C27" s="18"/>
      <c r="D27" s="47">
        <f>IFERROR(D7/D28,"")</f>
        <v>0.140601555149937</v>
      </c>
      <c r="E27" s="47">
        <f t="shared" ref="E27:R27" si="14">IFERROR(E7/E28,"")</f>
        <v>0.14663132858903208</v>
      </c>
      <c r="F27" s="47">
        <f t="shared" si="14"/>
        <v>0.15309116708188414</v>
      </c>
      <c r="G27" s="47">
        <f t="shared" si="14"/>
        <v>0.1600301107524372</v>
      </c>
      <c r="H27" s="47">
        <f t="shared" si="14"/>
        <v>0.16750505198945495</v>
      </c>
      <c r="I27" s="47">
        <f t="shared" si="14"/>
        <v>0.17558237208913685</v>
      </c>
      <c r="J27" s="47">
        <f t="shared" si="14"/>
        <v>0.18434000484910926</v>
      </c>
      <c r="K27" s="47">
        <f t="shared" si="14"/>
        <v>0.19387006296021531</v>
      </c>
      <c r="L27" s="47">
        <f t="shared" si="14"/>
        <v>0.20428221479350822</v>
      </c>
      <c r="M27" s="47">
        <f t="shared" si="14"/>
        <v>0.21570807421878541</v>
      </c>
      <c r="N27" s="47" t="str">
        <f t="shared" si="14"/>
        <v/>
      </c>
      <c r="O27" s="47" t="str">
        <f t="shared" si="14"/>
        <v/>
      </c>
      <c r="P27" s="47" t="str">
        <f t="shared" si="14"/>
        <v/>
      </c>
      <c r="Q27" s="47" t="str">
        <f t="shared" si="14"/>
        <v/>
      </c>
      <c r="R27" s="47" t="str">
        <f t="shared" si="14"/>
        <v/>
      </c>
    </row>
    <row r="28" spans="2:18" x14ac:dyDescent="0.25">
      <c r="B28" s="11" t="s">
        <v>52</v>
      </c>
      <c r="C28" s="70" t="str">
        <f>Property&amp;B28</f>
        <v>Property Name #1Loan Balance</v>
      </c>
      <c r="D28" s="42">
        <f>IF(Analysis_Period&gt;=D$3,HLOOKUP(D$4,Debt_Table2,MATCH($C28,Debt!$B$4:$B$98,0),FALSE),"")</f>
        <v>8854809.5977483075</v>
      </c>
      <c r="E28" s="42">
        <f>IF(Analysis_Period&gt;=E$3,HLOOKUP(E$4,Debt_Table2,MATCH($C28,Debt!$B$4:$B$98,0),FALSE),"")</f>
        <v>8702949.1738196872</v>
      </c>
      <c r="F28" s="42">
        <f>IF(Analysis_Period&gt;=F$3,HLOOKUP(F$4,Debt_Table2,MATCH($C28,Debt!$B$4:$B$98,0),FALSE),"")</f>
        <v>8544112.3085851986</v>
      </c>
      <c r="G28" s="42">
        <f>IF(Analysis_Period&gt;=G$3,HLOOKUP(G$4,Debt_Table2,MATCH($C28,Debt!$B$4:$B$98,0),FALSE),"")</f>
        <v>8377978.5055518402</v>
      </c>
      <c r="H28" s="42">
        <f>IF(Analysis_Period&gt;=H$3,HLOOKUP(H$4,Debt_Table2,MATCH($C28,Debt!$B$4:$B$98,0),FALSE),"")</f>
        <v>8204212.5446738042</v>
      </c>
      <c r="I28" s="42">
        <f>IF(Analysis_Period&gt;=I$3,HLOOKUP(I$4,Debt_Table2,MATCH($C28,Debt!$B$4:$B$98,0),FALSE),"")</f>
        <v>8022463.8059550188</v>
      </c>
      <c r="J28" s="42">
        <f>IF(Analysis_Period&gt;=J$3,HLOOKUP(J$4,Debt_Table2,MATCH($C28,Debt!$B$4:$B$98,0),FALSE),"")</f>
        <v>7832365.5619781455</v>
      </c>
      <c r="K28" s="42">
        <f>IF(Analysis_Period&gt;=K$3,HLOOKUP(K$4,Debt_Table2,MATCH($C28,Debt!$B$4:$B$98,0),FALSE),"")</f>
        <v>7633534.2379324529</v>
      </c>
      <c r="L28" s="42">
        <f>IF(Analysis_Period&gt;=L$3,HLOOKUP(L$4,Debt_Table2,MATCH($C28,Debt!$B$4:$B$98,0),FALSE),"")</f>
        <v>7425568.6376475086</v>
      </c>
      <c r="M28" s="42">
        <f>IF(Analysis_Period&gt;=M$3,HLOOKUP(M$4,Debt_Table2,MATCH($C28,Debt!$B$4:$B$98,0),FALSE),"")</f>
        <v>7208049.1340710167</v>
      </c>
      <c r="N28" s="42" t="str">
        <f>IF(Analysis_Period&gt;=N$3,HLOOKUP(N$4,Debt_Table2,MATCH($C28,Debt!$B$4:$B$98,0),FALSE),"")</f>
        <v/>
      </c>
      <c r="O28" s="42" t="str">
        <f>IF(Analysis_Period&gt;=O$3,HLOOKUP(O$4,Debt_Table2,MATCH($C28,Debt!$B$4:$B$98,0),FALSE),"")</f>
        <v/>
      </c>
      <c r="P28" s="42" t="str">
        <f>IF(Analysis_Period&gt;=P$3,HLOOKUP(P$4,Debt_Table2,MATCH($C28,Debt!$B$4:$B$98,0),FALSE),"")</f>
        <v/>
      </c>
      <c r="Q28" s="42" t="str">
        <f>IF(Analysis_Period&gt;=Q$3,HLOOKUP(Q$4,Debt_Table2,MATCH($C28,Debt!$B$4:$B$98,0),FALSE),"")</f>
        <v/>
      </c>
      <c r="R28" s="42" t="str">
        <f>IF(Analysis_Period&gt;=R$3,HLOOKUP(R$4,Debt_Table2,MATCH($C28,Debt!$B$4:$B$98,0),FALSE),"")</f>
        <v/>
      </c>
    </row>
    <row r="29" spans="2:18" x14ac:dyDescent="0.25">
      <c r="B29" s="11"/>
      <c r="C29" s="70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</row>
    <row r="30" spans="2:18" x14ac:dyDescent="0.25">
      <c r="B30" s="11" t="s">
        <v>58</v>
      </c>
      <c r="C30" s="70"/>
      <c r="D30" s="48">
        <f>IFERROR(D12-D28,"")</f>
        <v>10777882.709943997</v>
      </c>
      <c r="E30" s="48">
        <f t="shared" ref="E30:R30" si="15">IFERROR(E12-E28,"")</f>
        <v>11266945.864348244</v>
      </c>
      <c r="F30" s="48">
        <f t="shared" si="15"/>
        <v>11769960.84482388</v>
      </c>
      <c r="G30" s="48">
        <f t="shared" si="15"/>
        <v>12287390.649758294</v>
      </c>
      <c r="H30" s="48">
        <f t="shared" si="15"/>
        <v>12819716.18739824</v>
      </c>
      <c r="I30" s="48">
        <f t="shared" si="15"/>
        <v>13367437.0188605</v>
      </c>
      <c r="J30" s="48">
        <f t="shared" si="15"/>
        <v>13931072.133858968</v>
      </c>
      <c r="K30" s="48">
        <f t="shared" si="15"/>
        <v>14511160.760605453</v>
      </c>
      <c r="L30" s="48">
        <f t="shared" si="15"/>
        <v>15108263.211408179</v>
      </c>
      <c r="M30" s="48">
        <f t="shared" si="15"/>
        <v>15722961.765561549</v>
      </c>
      <c r="N30" s="48" t="str">
        <f t="shared" si="15"/>
        <v/>
      </c>
      <c r="O30" s="48" t="str">
        <f t="shared" si="15"/>
        <v/>
      </c>
      <c r="P30" s="48" t="str">
        <f t="shared" si="15"/>
        <v/>
      </c>
      <c r="Q30" s="48" t="str">
        <f t="shared" si="15"/>
        <v/>
      </c>
      <c r="R30" s="48" t="str">
        <f t="shared" si="15"/>
        <v/>
      </c>
    </row>
    <row r="31" spans="2:18" x14ac:dyDescent="0.25">
      <c r="B31" s="19" t="s">
        <v>67</v>
      </c>
      <c r="C31" s="70"/>
      <c r="D31" s="48">
        <f>IFERROR(D30-(-D98),"")</f>
        <v>4537882.7099439967</v>
      </c>
      <c r="E31" s="48">
        <f t="shared" ref="E31:R31" si="16">IFERROR(E30-(-E98),"")</f>
        <v>5026945.8643482439</v>
      </c>
      <c r="F31" s="48">
        <f t="shared" si="16"/>
        <v>5529960.8448238801</v>
      </c>
      <c r="G31" s="48">
        <f t="shared" si="16"/>
        <v>6047390.6497582942</v>
      </c>
      <c r="H31" s="48">
        <f t="shared" si="16"/>
        <v>6579716.18739824</v>
      </c>
      <c r="I31" s="48">
        <f t="shared" si="16"/>
        <v>7127437.0188605003</v>
      </c>
      <c r="J31" s="48">
        <f t="shared" si="16"/>
        <v>7691072.1338589676</v>
      </c>
      <c r="K31" s="48">
        <f t="shared" si="16"/>
        <v>8271160.7606054526</v>
      </c>
      <c r="L31" s="48">
        <f t="shared" si="16"/>
        <v>8868263.2114081793</v>
      </c>
      <c r="M31" s="48">
        <f t="shared" si="16"/>
        <v>9482961.765561549</v>
      </c>
      <c r="N31" s="48" t="str">
        <f t="shared" si="16"/>
        <v/>
      </c>
      <c r="O31" s="48" t="str">
        <f t="shared" si="16"/>
        <v/>
      </c>
      <c r="P31" s="48" t="str">
        <f t="shared" si="16"/>
        <v/>
      </c>
      <c r="Q31" s="48" t="str">
        <f t="shared" si="16"/>
        <v/>
      </c>
      <c r="R31" s="48" t="str">
        <f t="shared" si="16"/>
        <v/>
      </c>
    </row>
    <row r="32" spans="2:18" collapsed="1" x14ac:dyDescent="0.25">
      <c r="B32" s="11"/>
      <c r="C32" s="56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6" t="str">
        <f t="shared" ref="O32:R32" si="17">O34</f>
        <v/>
      </c>
      <c r="P32" s="36" t="str">
        <f t="shared" si="17"/>
        <v/>
      </c>
      <c r="Q32" s="36" t="str">
        <f t="shared" si="17"/>
        <v/>
      </c>
      <c r="R32" s="36" t="str">
        <f t="shared" si="17"/>
        <v/>
      </c>
    </row>
    <row r="33" spans="2:18" x14ac:dyDescent="0.25">
      <c r="B33" s="11" t="s">
        <v>46</v>
      </c>
      <c r="C33" s="70"/>
      <c r="D33" s="48">
        <f>IFERROR(D9-D25,"")</f>
        <v>511029.86538804881</v>
      </c>
      <c r="E33" s="48">
        <f t="shared" ref="E33:R33" si="18">IFERROR(E9-E25,"")</f>
        <v>537486.11538804858</v>
      </c>
      <c r="F33" s="48">
        <f t="shared" si="18"/>
        <v>564603.77163804835</v>
      </c>
      <c r="G33" s="48">
        <f t="shared" si="18"/>
        <v>592399.36929429811</v>
      </c>
      <c r="H33" s="48">
        <f t="shared" si="18"/>
        <v>620889.85689195432</v>
      </c>
      <c r="I33" s="48">
        <f t="shared" si="18"/>
        <v>650092.60667955177</v>
      </c>
      <c r="J33" s="48">
        <f t="shared" si="18"/>
        <v>680025.42521183938</v>
      </c>
      <c r="K33" s="48">
        <f t="shared" si="18"/>
        <v>710706.56420743396</v>
      </c>
      <c r="L33" s="48">
        <f t="shared" si="18"/>
        <v>742154.73167791846</v>
      </c>
      <c r="M33" s="48">
        <f t="shared" si="18"/>
        <v>774389.10333516519</v>
      </c>
      <c r="N33" s="48" t="str">
        <f t="shared" si="18"/>
        <v/>
      </c>
      <c r="O33" s="48" t="str">
        <f t="shared" si="18"/>
        <v/>
      </c>
      <c r="P33" s="48" t="str">
        <f t="shared" si="18"/>
        <v/>
      </c>
      <c r="Q33" s="48" t="str">
        <f t="shared" si="18"/>
        <v/>
      </c>
      <c r="R33" s="48" t="str">
        <f t="shared" si="18"/>
        <v/>
      </c>
    </row>
    <row r="34" spans="2:18" x14ac:dyDescent="0.25">
      <c r="B34" s="11" t="s">
        <v>48</v>
      </c>
      <c r="C34" s="70"/>
      <c r="D34" s="47">
        <f>IF(D33="","",D33/(-D98))</f>
        <v>8.1895811760905254E-2</v>
      </c>
      <c r="E34" s="47">
        <f t="shared" ref="E34:R34" si="19">IF(E33="","",E33/(-E98))</f>
        <v>8.6135595414751381E-2</v>
      </c>
      <c r="F34" s="47">
        <f t="shared" si="19"/>
        <v>9.0481373659943645E-2</v>
      </c>
      <c r="G34" s="47">
        <f t="shared" si="19"/>
        <v>9.4935796361265729E-2</v>
      </c>
      <c r="H34" s="47">
        <f t="shared" si="19"/>
        <v>9.9501579630120879E-2</v>
      </c>
      <c r="I34" s="47">
        <f t="shared" si="19"/>
        <v>0.10418150748069741</v>
      </c>
      <c r="J34" s="47">
        <f t="shared" si="19"/>
        <v>0.10897843352753836</v>
      </c>
      <c r="K34" s="47">
        <f t="shared" si="19"/>
        <v>0.11389528272555031</v>
      </c>
      <c r="L34" s="47">
        <f t="shared" si="19"/>
        <v>0.11893505315351258</v>
      </c>
      <c r="M34" s="47">
        <f t="shared" si="19"/>
        <v>0.1241008178421739</v>
      </c>
      <c r="N34" s="47" t="str">
        <f t="shared" si="19"/>
        <v/>
      </c>
      <c r="O34" s="47" t="str">
        <f t="shared" si="19"/>
        <v/>
      </c>
      <c r="P34" s="47" t="str">
        <f t="shared" si="19"/>
        <v/>
      </c>
      <c r="Q34" s="47" t="str">
        <f t="shared" si="19"/>
        <v/>
      </c>
      <c r="R34" s="47" t="str">
        <f t="shared" si="19"/>
        <v/>
      </c>
    </row>
    <row r="35" spans="2:18" x14ac:dyDescent="0.25">
      <c r="B35" s="19" t="s">
        <v>47</v>
      </c>
      <c r="C35" s="70"/>
      <c r="D35" s="47">
        <f>IF(D34="","",AVERAGE($D$34:D34))</f>
        <v>8.1895811760905254E-2</v>
      </c>
      <c r="E35" s="47">
        <f>IF(E34="","",AVERAGE($D$34:E34))</f>
        <v>8.4015703587828311E-2</v>
      </c>
      <c r="F35" s="47">
        <f>IF(F34="","",AVERAGE($D$34:F34))</f>
        <v>8.617092694520008E-2</v>
      </c>
      <c r="G35" s="47">
        <f>IF(G34="","",AVERAGE($D$34:G34))</f>
        <v>8.8362144299216488E-2</v>
      </c>
      <c r="H35" s="47">
        <f>IF(H34="","",AVERAGE($D$34:H34))</f>
        <v>9.0590031365397367E-2</v>
      </c>
      <c r="I35" s="47">
        <f>IF(I34="","",AVERAGE($D$34:I34))</f>
        <v>9.2855277384614035E-2</v>
      </c>
      <c r="J35" s="47">
        <f>IF(J34="","",AVERAGE($D$34:J34))</f>
        <v>9.515858540503179E-2</v>
      </c>
      <c r="K35" s="47">
        <f>IF(K34="","",AVERAGE($D$34:K34))</f>
        <v>9.7500672570096605E-2</v>
      </c>
      <c r="L35" s="47">
        <f>IF(L34="","",AVERAGE($D$34:L34))</f>
        <v>9.9882270412698385E-2</v>
      </c>
      <c r="M35" s="47">
        <f>IF(M34="","",AVERAGE($D$34:M34))</f>
        <v>0.10230412515564594</v>
      </c>
      <c r="N35" s="47" t="str">
        <f>IF(N34="","",AVERAGE($D$34:N34))</f>
        <v/>
      </c>
      <c r="O35" s="47" t="str">
        <f>IF(O34="","",AVERAGE($D$34:O34))</f>
        <v/>
      </c>
      <c r="P35" s="47" t="str">
        <f>IF(P34="","",AVERAGE($D$34:P34))</f>
        <v/>
      </c>
      <c r="Q35" s="47" t="str">
        <f>IF(Q34="","",AVERAGE($D$34:Q34))</f>
        <v/>
      </c>
      <c r="R35" s="47" t="str">
        <f>IF(R34="","",AVERAGE($D$34:R34))</f>
        <v/>
      </c>
    </row>
    <row r="36" spans="2:18" collapsed="1" x14ac:dyDescent="0.25">
      <c r="B36" s="11"/>
      <c r="C36" s="56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6" t="str">
        <f t="shared" ref="O36:R36" si="20">O38</f>
        <v/>
      </c>
      <c r="P36" s="36" t="str">
        <f t="shared" si="20"/>
        <v/>
      </c>
      <c r="Q36" s="36" t="str">
        <f t="shared" si="20"/>
        <v/>
      </c>
      <c r="R36" s="36" t="str">
        <f t="shared" si="20"/>
        <v/>
      </c>
    </row>
    <row r="37" spans="2:18" x14ac:dyDescent="0.25">
      <c r="B37" s="11" t="s">
        <v>49</v>
      </c>
      <c r="C37" s="70"/>
      <c r="D37" s="47">
        <f ca="1">IFERROR(D97,"N/A")</f>
        <v>0.80912060502116123</v>
      </c>
      <c r="E37" s="47">
        <f t="shared" ref="E37:R37" ca="1" si="21">IFERROR(E97,"N/A")</f>
        <v>0.41696121438604372</v>
      </c>
      <c r="F37" s="47">
        <f t="shared" ca="1" si="21"/>
        <v>0.30627189500024343</v>
      </c>
      <c r="G37" s="47">
        <f t="shared" ca="1" si="21"/>
        <v>0.25423187647941825</v>
      </c>
      <c r="H37" s="47">
        <f t="shared" ca="1" si="21"/>
        <v>0.22401670924238681</v>
      </c>
      <c r="I37" s="47">
        <f t="shared" ca="1" si="21"/>
        <v>0.20428777333326908</v>
      </c>
      <c r="J37" s="47">
        <f t="shared" ca="1" si="21"/>
        <v>0.19040161773995523</v>
      </c>
      <c r="K37" s="47">
        <f t="shared" ca="1" si="21"/>
        <v>0.18010480222790815</v>
      </c>
      <c r="L37" s="47">
        <f t="shared" ca="1" si="21"/>
        <v>0.17217164285869813</v>
      </c>
      <c r="M37" s="47">
        <f t="shared" ca="1" si="21"/>
        <v>0.16587823457627726</v>
      </c>
      <c r="N37" s="47" t="str">
        <f t="shared" si="21"/>
        <v/>
      </c>
      <c r="O37" s="47" t="str">
        <f t="shared" si="21"/>
        <v/>
      </c>
      <c r="P37" s="47" t="str">
        <f t="shared" si="21"/>
        <v/>
      </c>
      <c r="Q37" s="47" t="str">
        <f t="shared" si="21"/>
        <v/>
      </c>
      <c r="R37" s="47" t="str">
        <f t="shared" si="21"/>
        <v/>
      </c>
    </row>
    <row r="38" spans="2:18" x14ac:dyDescent="0.25">
      <c r="B38" s="11" t="s">
        <v>51</v>
      </c>
      <c r="C38" s="70"/>
      <c r="D38" s="57">
        <f>IFERROR((SUMIF($D$33:D33,"&gt;0")+D30)/-D98,"")</f>
        <v>1.8091206050211612</v>
      </c>
      <c r="E38" s="57">
        <f>IFERROR((SUMIF($D$33:E33,"&gt;0")+E30)/-E98,"")</f>
        <v>1.9736317059494137</v>
      </c>
      <c r="F38" s="57">
        <f>IFERROR((SUMIF($D$33:F33,"&gt;0")+F30)/-F98,"")</f>
        <v>2.1447244546855813</v>
      </c>
      <c r="G38" s="57">
        <f>IFERROR((SUMIF($D$33:G33,"&gt;0")+G30)/-G98,"")</f>
        <v>2.3225816941453106</v>
      </c>
      <c r="H38" s="57">
        <f>IFERROR((SUMIF($D$33:H33,"&gt;0")+H30)/-H98,"")</f>
        <v>2.5073918535254225</v>
      </c>
      <c r="I38" s="57">
        <f>IFERROR((SUMIF($D$33:I33,"&gt;0")+I30)/-I98,"")</f>
        <v>2.6993491352789181</v>
      </c>
      <c r="J38" s="57">
        <f>IFERROR((SUMIF($D$33:J33,"&gt;0")+J30)/-J98,"")</f>
        <v>2.8986537090305697</v>
      </c>
      <c r="K38" s="57">
        <f>IFERROR((SUMIF($D$33:K33,"&gt;0")+K30)/-K98,"")</f>
        <v>3.1055119127090829</v>
      </c>
      <c r="L38" s="57">
        <f>IFERROR((SUMIF($D$33:L33,"&gt;0")+L30)/-L98,"")</f>
        <v>3.3201364611835453</v>
      </c>
      <c r="M38" s="57">
        <f>IFERROR((SUMIF($D$33:M33,"&gt;0")+M30)/-M98,"")</f>
        <v>3.5427466627041437</v>
      </c>
      <c r="N38" s="57" t="str">
        <f>IFERROR((SUMIF($D$33:N33,"&gt;0")+N30)/-N98,"")</f>
        <v/>
      </c>
      <c r="O38" s="57" t="str">
        <f>IFERROR((SUMIF($D$33:O33,"&gt;0")+O30)/-O98,"")</f>
        <v/>
      </c>
      <c r="P38" s="57" t="str">
        <f>IFERROR((SUMIF($D$33:P33,"&gt;0")+P30)/-P98,"")</f>
        <v/>
      </c>
      <c r="Q38" s="57" t="str">
        <f>IFERROR((SUMIF($D$33:Q33,"&gt;0")+Q30)/-Q98,"")</f>
        <v/>
      </c>
      <c r="R38" s="57" t="str">
        <f>IFERROR((SUMIF($D$33:R33,"&gt;0")+R30)/-R98,"")</f>
        <v/>
      </c>
    </row>
    <row r="40" spans="2:18" ht="15.75" x14ac:dyDescent="0.25">
      <c r="B40" s="184" t="s">
        <v>106</v>
      </c>
      <c r="C40" s="184"/>
      <c r="D40" s="184"/>
      <c r="E40" s="66"/>
      <c r="F40" s="66"/>
      <c r="G40" s="66"/>
      <c r="H40" s="66"/>
      <c r="I40" s="66"/>
      <c r="J40" s="66"/>
      <c r="N40"/>
    </row>
    <row r="41" spans="2:18" s="102" customFormat="1" ht="30" x14ac:dyDescent="0.25">
      <c r="B41" s="97" t="s">
        <v>2</v>
      </c>
      <c r="C41" s="7" t="s">
        <v>72</v>
      </c>
      <c r="D41" s="7" t="s">
        <v>99</v>
      </c>
      <c r="E41" s="7" t="s">
        <v>101</v>
      </c>
      <c r="F41" s="7" t="s">
        <v>73</v>
      </c>
      <c r="G41" s="7" t="s">
        <v>100</v>
      </c>
      <c r="H41" s="7" t="s">
        <v>102</v>
      </c>
      <c r="I41" s="7" t="s">
        <v>74</v>
      </c>
      <c r="J41" s="7" t="s">
        <v>75</v>
      </c>
    </row>
    <row r="42" spans="2:18" s="102" customFormat="1" hidden="1" x14ac:dyDescent="0.25">
      <c r="B42" s="85"/>
      <c r="C42" s="104">
        <f ca="1">HLOOKUP(Analysis_Period,$D$3:$R$38,17,FALSE)</f>
        <v>0.10771593322326689</v>
      </c>
      <c r="D42" s="105">
        <f>HLOOKUP(Analysis_Period,$D$3:$R$38,18,FALSE)</f>
        <v>2.2961709343540844</v>
      </c>
      <c r="E42" s="104">
        <f>HLOOKUP(Analysis_Period,$D$3:$R$38,15,FALSE)</f>
        <v>7.8257285517041711E-2</v>
      </c>
      <c r="F42" s="104">
        <f ca="1">HLOOKUP(Analysis_Period,$D$3:$R$38,35,FALSE)</f>
        <v>0.16587823457627726</v>
      </c>
      <c r="G42" s="105">
        <f>HLOOKUP(Analysis_Period,$D$3:$R$38,36,FALSE)</f>
        <v>3.5427466627041437</v>
      </c>
      <c r="H42" s="104">
        <f>HLOOKUP(Analysis_Period,$D$3:$R$38,33,FALSE)</f>
        <v>0.10230412515564594</v>
      </c>
      <c r="I42" s="105">
        <f>HLOOKUP(Analysis_Period,$D$3:$R$38,24,FALSE)</f>
        <v>2.8413325812424985</v>
      </c>
      <c r="J42" s="104">
        <f>HLOOKUP(Analysis_Period,$D$3:$R$38,25,FALSE)</f>
        <v>0.21570807421878541</v>
      </c>
    </row>
    <row r="43" spans="2:18" x14ac:dyDescent="0.25">
      <c r="B43" s="103" t="str">
        <f>IF('Property Assumptions'!C5="","",'Property Assumptions'!C5)</f>
        <v>Property Name #1</v>
      </c>
      <c r="C43" s="104">
        <f t="dataTable" ref="C43:J72" dt2D="0" dtr="0" r1="E2" ca="1"/>
        <v>0.10771593322326689</v>
      </c>
      <c r="D43" s="105">
        <v>2.2961709343540844</v>
      </c>
      <c r="E43" s="104">
        <v>7.8257285517041711E-2</v>
      </c>
      <c r="F43" s="104">
        <v>0.16587823457627726</v>
      </c>
      <c r="G43" s="105">
        <v>3.5427466627041437</v>
      </c>
      <c r="H43" s="104">
        <v>0.10230412515564594</v>
      </c>
      <c r="I43" s="105">
        <v>2.8413325812424985</v>
      </c>
      <c r="J43" s="104">
        <v>0.21570807421878541</v>
      </c>
    </row>
    <row r="44" spans="2:18" x14ac:dyDescent="0.25">
      <c r="B44" s="103" t="str">
        <f>IF('Property Assumptions'!C6="","",'Property Assumptions'!C6)</f>
        <v>Property Name #2</v>
      </c>
      <c r="C44" s="104">
        <v>0.12887878286691756</v>
      </c>
      <c r="D44" s="105">
        <v>2.6494280011777902</v>
      </c>
      <c r="E44" s="104">
        <v>9.0296867904278905E-2</v>
      </c>
      <c r="F44" s="104">
        <v>0.20791297279353826</v>
      </c>
      <c r="G44" s="105">
        <v>4.3744004404540577</v>
      </c>
      <c r="H44" s="104">
        <v>0.13509693269823958</v>
      </c>
      <c r="I44" s="105">
        <v>3.1123929077151842</v>
      </c>
      <c r="J44" s="104">
        <v>0.23628641179409657</v>
      </c>
    </row>
    <row r="45" spans="2:18" x14ac:dyDescent="0.25">
      <c r="B45" s="103" t="str">
        <f>IF('Property Assumptions'!C7="","",'Property Assumptions'!C7)</f>
        <v/>
      </c>
      <c r="C45" s="104" t="e">
        <v>#N/A</v>
      </c>
      <c r="D45" s="105" t="str">
        <v/>
      </c>
      <c r="E45" s="104" t="e">
        <v>#N/A</v>
      </c>
      <c r="F45" s="104" t="str">
        <v/>
      </c>
      <c r="G45" s="105" t="str">
        <v/>
      </c>
      <c r="H45" s="104" t="str">
        <v/>
      </c>
      <c r="I45" s="105" t="str">
        <v/>
      </c>
      <c r="J45" s="104" t="str">
        <v/>
      </c>
    </row>
    <row r="46" spans="2:18" x14ac:dyDescent="0.25">
      <c r="B46" s="103" t="str">
        <f>IF('Property Assumptions'!C8="","",'Property Assumptions'!C8)</f>
        <v/>
      </c>
      <c r="C46" s="104" t="e">
        <v>#N/A</v>
      </c>
      <c r="D46" s="105" t="str">
        <v/>
      </c>
      <c r="E46" s="104" t="e">
        <v>#N/A</v>
      </c>
      <c r="F46" s="104" t="str">
        <v/>
      </c>
      <c r="G46" s="105" t="str">
        <v/>
      </c>
      <c r="H46" s="104" t="str">
        <v/>
      </c>
      <c r="I46" s="105" t="str">
        <v/>
      </c>
      <c r="J46" s="104" t="str">
        <v/>
      </c>
    </row>
    <row r="47" spans="2:18" x14ac:dyDescent="0.25">
      <c r="B47" s="103" t="str">
        <f>IF('Property Assumptions'!C9="","",'Property Assumptions'!C9)</f>
        <v/>
      </c>
      <c r="C47" s="104" t="e">
        <v>#N/A</v>
      </c>
      <c r="D47" s="105" t="str">
        <v/>
      </c>
      <c r="E47" s="104" t="e">
        <v>#N/A</v>
      </c>
      <c r="F47" s="104" t="str">
        <v/>
      </c>
      <c r="G47" s="105" t="str">
        <v/>
      </c>
      <c r="H47" s="104" t="str">
        <v/>
      </c>
      <c r="I47" s="105" t="str">
        <v/>
      </c>
      <c r="J47" s="104" t="str">
        <v/>
      </c>
    </row>
    <row r="48" spans="2:18" x14ac:dyDescent="0.25">
      <c r="B48" s="103" t="str">
        <f>IF('Property Assumptions'!C10="","",'Property Assumptions'!C10)</f>
        <v/>
      </c>
      <c r="C48" s="104" t="e">
        <v>#N/A</v>
      </c>
      <c r="D48" s="105" t="str">
        <v/>
      </c>
      <c r="E48" s="104" t="e">
        <v>#N/A</v>
      </c>
      <c r="F48" s="104" t="str">
        <v/>
      </c>
      <c r="G48" s="105" t="str">
        <v/>
      </c>
      <c r="H48" s="104" t="str">
        <v/>
      </c>
      <c r="I48" s="105" t="str">
        <v/>
      </c>
      <c r="J48" s="104" t="str">
        <v/>
      </c>
    </row>
    <row r="49" spans="2:14" x14ac:dyDescent="0.25">
      <c r="B49" s="103" t="str">
        <f>IF('Property Assumptions'!C11="","",'Property Assumptions'!C11)</f>
        <v/>
      </c>
      <c r="C49" s="104" t="e">
        <v>#N/A</v>
      </c>
      <c r="D49" s="105" t="str">
        <v/>
      </c>
      <c r="E49" s="104" t="e">
        <v>#N/A</v>
      </c>
      <c r="F49" s="104" t="str">
        <v/>
      </c>
      <c r="G49" s="105" t="str">
        <v/>
      </c>
      <c r="H49" s="104" t="str">
        <v/>
      </c>
      <c r="I49" s="105" t="str">
        <v/>
      </c>
      <c r="J49" s="104" t="str">
        <v/>
      </c>
    </row>
    <row r="50" spans="2:14" x14ac:dyDescent="0.25">
      <c r="B50" s="103" t="str">
        <f>IF('Property Assumptions'!C12="","",'Property Assumptions'!C12)</f>
        <v/>
      </c>
      <c r="C50" s="104" t="e">
        <v>#N/A</v>
      </c>
      <c r="D50" s="105" t="str">
        <v/>
      </c>
      <c r="E50" s="104" t="e">
        <v>#N/A</v>
      </c>
      <c r="F50" s="104" t="str">
        <v/>
      </c>
      <c r="G50" s="105" t="str">
        <v/>
      </c>
      <c r="H50" s="104" t="str">
        <v/>
      </c>
      <c r="I50" s="105" t="str">
        <v/>
      </c>
      <c r="J50" s="104" t="str">
        <v/>
      </c>
    </row>
    <row r="51" spans="2:14" x14ac:dyDescent="0.25">
      <c r="B51" s="103" t="str">
        <f>IF('Property Assumptions'!C13="","",'Property Assumptions'!C13)</f>
        <v/>
      </c>
      <c r="C51" s="104" t="e">
        <v>#N/A</v>
      </c>
      <c r="D51" s="105" t="str">
        <v/>
      </c>
      <c r="E51" s="104" t="e">
        <v>#N/A</v>
      </c>
      <c r="F51" s="104" t="str">
        <v/>
      </c>
      <c r="G51" s="105" t="str">
        <v/>
      </c>
      <c r="H51" s="104" t="str">
        <v/>
      </c>
      <c r="I51" s="105" t="str">
        <v/>
      </c>
      <c r="J51" s="104" t="str">
        <v/>
      </c>
    </row>
    <row r="52" spans="2:14" x14ac:dyDescent="0.25">
      <c r="B52" s="103" t="str">
        <f>IF('Property Assumptions'!C14="","",'Property Assumptions'!C14)</f>
        <v/>
      </c>
      <c r="C52" s="104" t="e">
        <v>#N/A</v>
      </c>
      <c r="D52" s="105" t="str">
        <v/>
      </c>
      <c r="E52" s="104" t="e">
        <v>#N/A</v>
      </c>
      <c r="F52" s="104" t="str">
        <v/>
      </c>
      <c r="G52" s="105" t="str">
        <v/>
      </c>
      <c r="H52" s="104" t="str">
        <v/>
      </c>
      <c r="I52" s="105" t="str">
        <v/>
      </c>
      <c r="J52" s="104" t="str">
        <v/>
      </c>
    </row>
    <row r="53" spans="2:14" x14ac:dyDescent="0.25">
      <c r="B53" s="103" t="str">
        <f>IF('Property Assumptions'!C15="","",'Property Assumptions'!C15)</f>
        <v/>
      </c>
      <c r="C53" s="104" t="e">
        <v>#N/A</v>
      </c>
      <c r="D53" s="105" t="str">
        <v/>
      </c>
      <c r="E53" s="104" t="e">
        <v>#N/A</v>
      </c>
      <c r="F53" s="104" t="str">
        <v/>
      </c>
      <c r="G53" s="105" t="str">
        <v/>
      </c>
      <c r="H53" s="104" t="str">
        <v/>
      </c>
      <c r="I53" s="105" t="str">
        <v/>
      </c>
      <c r="J53" s="104" t="str">
        <v/>
      </c>
    </row>
    <row r="54" spans="2:14" x14ac:dyDescent="0.25">
      <c r="B54" s="103" t="str">
        <f>IF('Property Assumptions'!C16="","",'Property Assumptions'!C16)</f>
        <v/>
      </c>
      <c r="C54" s="104" t="e">
        <v>#N/A</v>
      </c>
      <c r="D54" s="105" t="str">
        <v/>
      </c>
      <c r="E54" s="104" t="e">
        <v>#N/A</v>
      </c>
      <c r="F54" s="104" t="str">
        <v/>
      </c>
      <c r="G54" s="105" t="str">
        <v/>
      </c>
      <c r="H54" s="104" t="str">
        <v/>
      </c>
      <c r="I54" s="105" t="str">
        <v/>
      </c>
      <c r="J54" s="104" t="str">
        <v/>
      </c>
    </row>
    <row r="55" spans="2:14" x14ac:dyDescent="0.25">
      <c r="B55" s="103" t="str">
        <f>IF('Property Assumptions'!C17="","",'Property Assumptions'!C17)</f>
        <v/>
      </c>
      <c r="C55" s="104" t="e">
        <v>#N/A</v>
      </c>
      <c r="D55" s="105" t="str">
        <v/>
      </c>
      <c r="E55" s="104" t="e">
        <v>#N/A</v>
      </c>
      <c r="F55" s="104" t="str">
        <v/>
      </c>
      <c r="G55" s="105" t="str">
        <v/>
      </c>
      <c r="H55" s="104" t="str">
        <v/>
      </c>
      <c r="I55" s="105" t="str">
        <v/>
      </c>
      <c r="J55" s="104" t="str">
        <v/>
      </c>
    </row>
    <row r="56" spans="2:14" x14ac:dyDescent="0.25">
      <c r="B56" s="103" t="str">
        <f>IF('Property Assumptions'!C18="","",'Property Assumptions'!C18)</f>
        <v/>
      </c>
      <c r="C56" s="104" t="e">
        <v>#N/A</v>
      </c>
      <c r="D56" s="105" t="str">
        <v/>
      </c>
      <c r="E56" s="104" t="e">
        <v>#N/A</v>
      </c>
      <c r="F56" s="104" t="str">
        <v/>
      </c>
      <c r="G56" s="105" t="str">
        <v/>
      </c>
      <c r="H56" s="104" t="str">
        <v/>
      </c>
      <c r="I56" s="105" t="str">
        <v/>
      </c>
      <c r="J56" s="104" t="str">
        <v/>
      </c>
    </row>
    <row r="57" spans="2:14" x14ac:dyDescent="0.25">
      <c r="B57" s="103" t="str">
        <f>IF('Property Assumptions'!C19="","",'Property Assumptions'!C19)</f>
        <v/>
      </c>
      <c r="C57" s="104" t="e">
        <v>#N/A</v>
      </c>
      <c r="D57" s="105" t="str">
        <v/>
      </c>
      <c r="E57" s="104" t="e">
        <v>#N/A</v>
      </c>
      <c r="F57" s="104" t="str">
        <v/>
      </c>
      <c r="G57" s="105" t="str">
        <v/>
      </c>
      <c r="H57" s="104" t="str">
        <v/>
      </c>
      <c r="I57" s="105" t="str">
        <v/>
      </c>
      <c r="J57" s="104" t="str">
        <v/>
      </c>
    </row>
    <row r="58" spans="2:14" x14ac:dyDescent="0.25">
      <c r="B58" s="103" t="str">
        <f>IF('Property Assumptions'!C20="","",'Property Assumptions'!C20)</f>
        <v/>
      </c>
      <c r="C58" s="104" t="e">
        <v>#N/A</v>
      </c>
      <c r="D58" s="105" t="str">
        <v/>
      </c>
      <c r="E58" s="104" t="e">
        <v>#N/A</v>
      </c>
      <c r="F58" s="104" t="str">
        <v/>
      </c>
      <c r="G58" s="105" t="str">
        <v/>
      </c>
      <c r="H58" s="104" t="str">
        <v/>
      </c>
      <c r="I58" s="105" t="str">
        <v/>
      </c>
      <c r="J58" s="104" t="str">
        <v/>
      </c>
    </row>
    <row r="59" spans="2:14" x14ac:dyDescent="0.25">
      <c r="B59" s="103" t="str">
        <f>IF('Property Assumptions'!C21="","",'Property Assumptions'!C21)</f>
        <v/>
      </c>
      <c r="C59" s="104" t="e">
        <v>#N/A</v>
      </c>
      <c r="D59" s="105" t="str">
        <v/>
      </c>
      <c r="E59" s="104" t="e">
        <v>#N/A</v>
      </c>
      <c r="F59" s="104" t="str">
        <v/>
      </c>
      <c r="G59" s="105" t="str">
        <v/>
      </c>
      <c r="H59" s="104" t="str">
        <v/>
      </c>
      <c r="I59" s="105" t="str">
        <v/>
      </c>
      <c r="J59" s="104" t="str">
        <v/>
      </c>
    </row>
    <row r="60" spans="2:14" x14ac:dyDescent="0.25">
      <c r="B60" s="103" t="str">
        <f>IF('Property Assumptions'!C22="","",'Property Assumptions'!C22)</f>
        <v/>
      </c>
      <c r="C60" s="104" t="e">
        <v>#N/A</v>
      </c>
      <c r="D60" s="105" t="str">
        <v/>
      </c>
      <c r="E60" s="104" t="e">
        <v>#N/A</v>
      </c>
      <c r="F60" s="104" t="str">
        <v/>
      </c>
      <c r="G60" s="105" t="str">
        <v/>
      </c>
      <c r="H60" s="104" t="str">
        <v/>
      </c>
      <c r="I60" s="105" t="str">
        <v/>
      </c>
      <c r="J60" s="104" t="str">
        <v/>
      </c>
      <c r="N60"/>
    </row>
    <row r="61" spans="2:14" x14ac:dyDescent="0.25">
      <c r="B61" s="103" t="str">
        <f>IF('Property Assumptions'!C23="","",'Property Assumptions'!C23)</f>
        <v/>
      </c>
      <c r="C61" s="104" t="e">
        <v>#N/A</v>
      </c>
      <c r="D61" s="105" t="str">
        <v/>
      </c>
      <c r="E61" s="104" t="e">
        <v>#N/A</v>
      </c>
      <c r="F61" s="104" t="str">
        <v/>
      </c>
      <c r="G61" s="105" t="str">
        <v/>
      </c>
      <c r="H61" s="104" t="str">
        <v/>
      </c>
      <c r="I61" s="105" t="str">
        <v/>
      </c>
      <c r="J61" s="104" t="str">
        <v/>
      </c>
      <c r="N61"/>
    </row>
    <row r="62" spans="2:14" x14ac:dyDescent="0.25">
      <c r="B62" s="103" t="str">
        <f>IF('Property Assumptions'!C24="","",'Property Assumptions'!C24)</f>
        <v/>
      </c>
      <c r="C62" s="104" t="e">
        <v>#N/A</v>
      </c>
      <c r="D62" s="105" t="str">
        <v/>
      </c>
      <c r="E62" s="104" t="e">
        <v>#N/A</v>
      </c>
      <c r="F62" s="104" t="str">
        <v/>
      </c>
      <c r="G62" s="105" t="str">
        <v/>
      </c>
      <c r="H62" s="104" t="str">
        <v/>
      </c>
      <c r="I62" s="105" t="str">
        <v/>
      </c>
      <c r="J62" s="104" t="str">
        <v/>
      </c>
      <c r="N62"/>
    </row>
    <row r="63" spans="2:14" x14ac:dyDescent="0.25">
      <c r="B63" s="103" t="str">
        <f>IF('Property Assumptions'!C25="","",'Property Assumptions'!C25)</f>
        <v/>
      </c>
      <c r="C63" s="104" t="e">
        <v>#N/A</v>
      </c>
      <c r="D63" s="105" t="str">
        <v/>
      </c>
      <c r="E63" s="104" t="e">
        <v>#N/A</v>
      </c>
      <c r="F63" s="104" t="str">
        <v/>
      </c>
      <c r="G63" s="105" t="str">
        <v/>
      </c>
      <c r="H63" s="104" t="str">
        <v/>
      </c>
      <c r="I63" s="105" t="str">
        <v/>
      </c>
      <c r="J63" s="104" t="str">
        <v/>
      </c>
      <c r="N63"/>
    </row>
    <row r="64" spans="2:14" x14ac:dyDescent="0.25">
      <c r="B64" s="103" t="str">
        <f>IF('Property Assumptions'!C26="","",'Property Assumptions'!C26)</f>
        <v/>
      </c>
      <c r="C64" s="104" t="e">
        <v>#N/A</v>
      </c>
      <c r="D64" s="105" t="str">
        <v/>
      </c>
      <c r="E64" s="104" t="e">
        <v>#N/A</v>
      </c>
      <c r="F64" s="104" t="str">
        <v/>
      </c>
      <c r="G64" s="105" t="str">
        <v/>
      </c>
      <c r="H64" s="104" t="str">
        <v/>
      </c>
      <c r="I64" s="105" t="str">
        <v/>
      </c>
      <c r="J64" s="104" t="str">
        <v/>
      </c>
      <c r="N64"/>
    </row>
    <row r="65" spans="2:21" x14ac:dyDescent="0.25">
      <c r="B65" s="103" t="str">
        <f>IF('Property Assumptions'!C27="","",'Property Assumptions'!C27)</f>
        <v/>
      </c>
      <c r="C65" s="104" t="e">
        <v>#N/A</v>
      </c>
      <c r="D65" s="105" t="str">
        <v/>
      </c>
      <c r="E65" s="104" t="e">
        <v>#N/A</v>
      </c>
      <c r="F65" s="104" t="str">
        <v/>
      </c>
      <c r="G65" s="105" t="str">
        <v/>
      </c>
      <c r="H65" s="104" t="str">
        <v/>
      </c>
      <c r="I65" s="105" t="str">
        <v/>
      </c>
      <c r="J65" s="104" t="str">
        <v/>
      </c>
      <c r="N65"/>
    </row>
    <row r="66" spans="2:21" x14ac:dyDescent="0.25">
      <c r="B66" s="103" t="str">
        <f>IF('Property Assumptions'!C28="","",'Property Assumptions'!C28)</f>
        <v/>
      </c>
      <c r="C66" s="104" t="e">
        <v>#N/A</v>
      </c>
      <c r="D66" s="105" t="str">
        <v/>
      </c>
      <c r="E66" s="104" t="e">
        <v>#N/A</v>
      </c>
      <c r="F66" s="104" t="str">
        <v/>
      </c>
      <c r="G66" s="105" t="str">
        <v/>
      </c>
      <c r="H66" s="104" t="str">
        <v/>
      </c>
      <c r="I66" s="105" t="str">
        <v/>
      </c>
      <c r="J66" s="104" t="str">
        <v/>
      </c>
      <c r="N66"/>
    </row>
    <row r="67" spans="2:21" x14ac:dyDescent="0.25">
      <c r="B67" s="103" t="str">
        <f>IF('Property Assumptions'!C29="","",'Property Assumptions'!C29)</f>
        <v/>
      </c>
      <c r="C67" s="104" t="e">
        <v>#N/A</v>
      </c>
      <c r="D67" s="105" t="str">
        <v/>
      </c>
      <c r="E67" s="104" t="e">
        <v>#N/A</v>
      </c>
      <c r="F67" s="104" t="str">
        <v/>
      </c>
      <c r="G67" s="105" t="str">
        <v/>
      </c>
      <c r="H67" s="104" t="str">
        <v/>
      </c>
      <c r="I67" s="105" t="str">
        <v/>
      </c>
      <c r="J67" s="104" t="str">
        <v/>
      </c>
      <c r="N67"/>
    </row>
    <row r="68" spans="2:21" x14ac:dyDescent="0.25">
      <c r="B68" s="103" t="str">
        <f>IF('Property Assumptions'!C30="","",'Property Assumptions'!C30)</f>
        <v/>
      </c>
      <c r="C68" s="104" t="e">
        <v>#N/A</v>
      </c>
      <c r="D68" s="105" t="str">
        <v/>
      </c>
      <c r="E68" s="104" t="e">
        <v>#N/A</v>
      </c>
      <c r="F68" s="104" t="str">
        <v/>
      </c>
      <c r="G68" s="105" t="str">
        <v/>
      </c>
      <c r="H68" s="104" t="str">
        <v/>
      </c>
      <c r="I68" s="105" t="str">
        <v/>
      </c>
      <c r="J68" s="104" t="str">
        <v/>
      </c>
      <c r="N68"/>
    </row>
    <row r="69" spans="2:21" x14ac:dyDescent="0.25">
      <c r="B69" s="103" t="str">
        <f>IF('Property Assumptions'!C31="","",'Property Assumptions'!C31)</f>
        <v/>
      </c>
      <c r="C69" s="104" t="e">
        <v>#N/A</v>
      </c>
      <c r="D69" s="105" t="str">
        <v/>
      </c>
      <c r="E69" s="104" t="e">
        <v>#N/A</v>
      </c>
      <c r="F69" s="104" t="str">
        <v/>
      </c>
      <c r="G69" s="105" t="str">
        <v/>
      </c>
      <c r="H69" s="104" t="str">
        <v/>
      </c>
      <c r="I69" s="105" t="str">
        <v/>
      </c>
      <c r="J69" s="104" t="str">
        <v/>
      </c>
      <c r="N69"/>
    </row>
    <row r="70" spans="2:21" x14ac:dyDescent="0.25">
      <c r="B70" s="103" t="str">
        <f>IF('Property Assumptions'!C32="","",'Property Assumptions'!C32)</f>
        <v/>
      </c>
      <c r="C70" s="104" t="e">
        <v>#N/A</v>
      </c>
      <c r="D70" s="105" t="str">
        <v/>
      </c>
      <c r="E70" s="104" t="e">
        <v>#N/A</v>
      </c>
      <c r="F70" s="104" t="str">
        <v/>
      </c>
      <c r="G70" s="105" t="str">
        <v/>
      </c>
      <c r="H70" s="104" t="str">
        <v/>
      </c>
      <c r="I70" s="105" t="str">
        <v/>
      </c>
      <c r="J70" s="104" t="str">
        <v/>
      </c>
      <c r="N70"/>
    </row>
    <row r="71" spans="2:21" x14ac:dyDescent="0.25">
      <c r="B71" s="103" t="str">
        <f>IF('Property Assumptions'!C33="","",'Property Assumptions'!C33)</f>
        <v/>
      </c>
      <c r="C71" s="104" t="e">
        <v>#N/A</v>
      </c>
      <c r="D71" s="105" t="str">
        <v/>
      </c>
      <c r="E71" s="104" t="e">
        <v>#N/A</v>
      </c>
      <c r="F71" s="104" t="str">
        <v/>
      </c>
      <c r="G71" s="105" t="str">
        <v/>
      </c>
      <c r="H71" s="104" t="str">
        <v/>
      </c>
      <c r="I71" s="105" t="str">
        <v/>
      </c>
      <c r="J71" s="104" t="str">
        <v/>
      </c>
      <c r="N71"/>
    </row>
    <row r="72" spans="2:21" x14ac:dyDescent="0.25">
      <c r="B72" s="103" t="str">
        <f>IF('Property Assumptions'!C34="","",'Property Assumptions'!C34)</f>
        <v/>
      </c>
      <c r="C72" s="104" t="e">
        <v>#N/A</v>
      </c>
      <c r="D72" s="105" t="str">
        <v/>
      </c>
      <c r="E72" s="104" t="e">
        <v>#N/A</v>
      </c>
      <c r="F72" s="104" t="str">
        <v/>
      </c>
      <c r="G72" s="105" t="str">
        <v/>
      </c>
      <c r="H72" s="104" t="str">
        <v/>
      </c>
      <c r="I72" s="105" t="str">
        <v/>
      </c>
      <c r="J72" s="104" t="str">
        <v/>
      </c>
      <c r="N72"/>
    </row>
    <row r="73" spans="2:21" x14ac:dyDescent="0.25">
      <c r="C73"/>
      <c r="D73"/>
      <c r="E73"/>
      <c r="F73"/>
      <c r="G73"/>
      <c r="H73"/>
      <c r="I73"/>
      <c r="J73"/>
      <c r="K73"/>
      <c r="L73"/>
      <c r="M73"/>
      <c r="N73"/>
    </row>
    <row r="74" spans="2:21" x14ac:dyDescent="0.25">
      <c r="B74" s="64" t="s">
        <v>63</v>
      </c>
    </row>
    <row r="75" spans="2:21" ht="15" hidden="1" customHeight="1" outlineLevel="1" x14ac:dyDescent="0.25">
      <c r="B75" s="61" t="s">
        <v>59</v>
      </c>
    </row>
    <row r="76" spans="2:21" ht="15" hidden="1" customHeight="1" outlineLevel="1" x14ac:dyDescent="0.25">
      <c r="B76" s="60" t="s">
        <v>60</v>
      </c>
      <c r="C76" s="71"/>
      <c r="D76" s="9">
        <f t="shared" ref="D76:R76" si="22">IF(D5="","",D3)</f>
        <v>1</v>
      </c>
      <c r="E76" s="9">
        <f t="shared" si="22"/>
        <v>2</v>
      </c>
      <c r="F76" s="9">
        <f t="shared" si="22"/>
        <v>3</v>
      </c>
      <c r="G76" s="9">
        <f t="shared" si="22"/>
        <v>4</v>
      </c>
      <c r="H76" s="9">
        <f t="shared" si="22"/>
        <v>5</v>
      </c>
      <c r="I76" s="9">
        <f t="shared" si="22"/>
        <v>6</v>
      </c>
      <c r="J76" s="9">
        <f t="shared" si="22"/>
        <v>7</v>
      </c>
      <c r="K76" s="9">
        <f t="shared" si="22"/>
        <v>8</v>
      </c>
      <c r="L76" s="9">
        <f t="shared" si="22"/>
        <v>9</v>
      </c>
      <c r="M76" s="9">
        <f t="shared" si="22"/>
        <v>10</v>
      </c>
      <c r="N76" s="9" t="str">
        <f t="shared" si="22"/>
        <v/>
      </c>
      <c r="O76" s="9" t="str">
        <f t="shared" si="22"/>
        <v/>
      </c>
      <c r="P76" s="9" t="str">
        <f t="shared" si="22"/>
        <v/>
      </c>
      <c r="Q76" s="9" t="str">
        <f t="shared" si="22"/>
        <v/>
      </c>
      <c r="R76" s="9" t="str">
        <f t="shared" si="22"/>
        <v/>
      </c>
      <c r="S76" s="9"/>
      <c r="T76" s="9"/>
      <c r="U76" s="9"/>
    </row>
    <row r="77" spans="2:21" hidden="1" outlineLevel="1" x14ac:dyDescent="0.25">
      <c r="B77" s="60" t="s">
        <v>61</v>
      </c>
      <c r="C77" s="71"/>
      <c r="D77" s="63">
        <f ca="1">IF(D76="","",IRR(D78:D93))</f>
        <v>0.36573876618431034</v>
      </c>
      <c r="E77" s="63">
        <f t="shared" ref="E77:R77" ca="1" si="23">IF(E76="","",IRR(E78:E93))</f>
        <v>0.21431646102992485</v>
      </c>
      <c r="F77" s="63">
        <f t="shared" ca="1" si="23"/>
        <v>0.1679368194771067</v>
      </c>
      <c r="G77" s="63">
        <f t="shared" ca="1" si="23"/>
        <v>0.14558901680387271</v>
      </c>
      <c r="H77" s="63">
        <f t="shared" ca="1" si="23"/>
        <v>0.13251717993352918</v>
      </c>
      <c r="I77" s="63">
        <f t="shared" ca="1" si="23"/>
        <v>0.12399058056620027</v>
      </c>
      <c r="J77" s="63">
        <f t="shared" ca="1" si="23"/>
        <v>0.11802646220499069</v>
      </c>
      <c r="K77" s="63">
        <f t="shared" ca="1" si="23"/>
        <v>0.11364785303934455</v>
      </c>
      <c r="L77" s="63">
        <f t="shared" ca="1" si="23"/>
        <v>0.11031760663878765</v>
      </c>
      <c r="M77" s="63">
        <f t="shared" ca="1" si="23"/>
        <v>0.10771593322326689</v>
      </c>
      <c r="N77" s="63" t="str">
        <f t="shared" si="23"/>
        <v/>
      </c>
      <c r="O77" s="63" t="str">
        <f t="shared" si="23"/>
        <v/>
      </c>
      <c r="P77" s="63" t="str">
        <f t="shared" si="23"/>
        <v/>
      </c>
      <c r="Q77" s="63" t="str">
        <f t="shared" si="23"/>
        <v/>
      </c>
      <c r="R77" s="63" t="str">
        <f t="shared" si="23"/>
        <v/>
      </c>
      <c r="S77" s="9"/>
      <c r="T77" s="9"/>
      <c r="U77" s="9"/>
    </row>
    <row r="78" spans="2:21" hidden="1" outlineLevel="1" x14ac:dyDescent="0.25">
      <c r="B78" s="60">
        <v>0</v>
      </c>
      <c r="D78" s="48">
        <f>IF(D76="","",-(VLOOKUP(Property,P_List_Table_2,18,FALSE)+(-SUMIF($D$15:D15,"&lt;0"))))</f>
        <v>-15150000</v>
      </c>
      <c r="E78" s="48">
        <f>IF(E76="","",-(VLOOKUP(Property,P_List_Table_2,18,FALSE)+(-SUMIF($D$15:E15,"&lt;0"))))</f>
        <v>-15150000</v>
      </c>
      <c r="F78" s="48">
        <f>IF(F76="","",-(VLOOKUP(Property,P_List_Table_2,18,FALSE)+(-SUMIF($D$15:F15,"&lt;0"))))</f>
        <v>-15150000</v>
      </c>
      <c r="G78" s="48">
        <f>IF(G76="","",-(VLOOKUP(Property,P_List_Table_2,18,FALSE)+(-SUMIF($D$15:G15,"&lt;0"))))</f>
        <v>-15150000</v>
      </c>
      <c r="H78" s="48">
        <f>IF(H76="","",-(VLOOKUP(Property,P_List_Table_2,18,FALSE)+(-SUMIF($D$15:H15,"&lt;0"))))</f>
        <v>-15150000</v>
      </c>
      <c r="I78" s="48">
        <f>IF(I76="","",-(VLOOKUP(Property,P_List_Table_2,18,FALSE)+(-SUMIF($D$15:I15,"&lt;0"))))</f>
        <v>-15150000</v>
      </c>
      <c r="J78" s="48">
        <f>IF(J76="","",-(VLOOKUP(Property,P_List_Table_2,18,FALSE)+(-SUMIF($D$15:J15,"&lt;0"))))</f>
        <v>-15150000</v>
      </c>
      <c r="K78" s="48">
        <f>IF(K76="","",-(VLOOKUP(Property,P_List_Table_2,18,FALSE)+(-SUMIF($D$15:K15,"&lt;0"))))</f>
        <v>-15150000</v>
      </c>
      <c r="L78" s="48">
        <f>IF(L76="","",-(VLOOKUP(Property,P_List_Table_2,18,FALSE)+(-SUMIF($D$15:L15,"&lt;0"))))</f>
        <v>-15150000</v>
      </c>
      <c r="M78" s="48">
        <f>IF(M76="","",-(VLOOKUP(Property,P_List_Table_2,18,FALSE)+(-SUMIF($D$15:M15,"&lt;0"))))</f>
        <v>-15150000</v>
      </c>
      <c r="N78" s="48" t="str">
        <f>IF(N76="","",-(VLOOKUP(Property,P_List_Table_2,18,FALSE)+(-SUMIF($D$15:N15,"&lt;0"))))</f>
        <v/>
      </c>
      <c r="O78" s="48" t="str">
        <f>IF(O76="","",-(VLOOKUP(Property,P_List_Table_2,18,FALSE)+(-SUMIF($D$15:O15,"&lt;0"))))</f>
        <v/>
      </c>
      <c r="P78" s="48" t="str">
        <f>IF(P76="","",-(VLOOKUP(Property,P_List_Table_2,18,FALSE)+(-SUMIF($D$15:P15,"&lt;0"))))</f>
        <v/>
      </c>
      <c r="Q78" s="48" t="str">
        <f>IF(Q76="","",-(VLOOKUP(Property,P_List_Table_2,18,FALSE)+(-SUMIF($D$15:Q15,"&lt;0"))))</f>
        <v/>
      </c>
      <c r="R78" s="48" t="str">
        <f>IF(R76="","",-(VLOOKUP(Property,P_List_Table_2,18,FALSE)+(-SUMIF($D$15:R15,"&lt;0"))))</f>
        <v/>
      </c>
    </row>
    <row r="79" spans="2:21" hidden="1" outlineLevel="1" x14ac:dyDescent="0.25">
      <c r="B79">
        <f>B78+1</f>
        <v>1</v>
      </c>
      <c r="D79" s="62">
        <f t="shared" ref="D79:D93" ca="1" si="24">IF($B79&gt;D$76,"",IF(D$76="","",IF(D$76=$B79,OFFSET($D$15,0,$B78)+OFFSET($D$12,0,$B78),OFFSET($D$15,0,$B78))))</f>
        <v>20690942.307692304</v>
      </c>
      <c r="E79" s="62">
        <f t="shared" ref="E79:E93" ca="1" si="25">IF($B79&gt;E$76,"",IF(E$76="","",IF(E$76=$B79,OFFSET($D$15,0,$B78)+OFFSET($D$12,0,$B78),OFFSET($D$15,0,$B78))))</f>
        <v>1058250</v>
      </c>
      <c r="F79" s="62">
        <f t="shared" ref="F79:F93" ca="1" si="26">IF($B79&gt;F$76,"",IF(F$76="","",IF(F$76=$B79,OFFSET($D$15,0,$B78)+OFFSET($D$12,0,$B78),OFFSET($D$15,0,$B78))))</f>
        <v>1058250</v>
      </c>
      <c r="G79" s="62">
        <f t="shared" ref="G79:G93" ca="1" si="27">IF($B79&gt;G$76,"",IF(G$76="","",IF(G$76=$B79,OFFSET($D$15,0,$B78)+OFFSET($D$12,0,$B78),OFFSET($D$15,0,$B78))))</f>
        <v>1058250</v>
      </c>
      <c r="H79" s="62">
        <f t="shared" ref="H79:H93" ca="1" si="28">IF($B79&gt;H$76,"",IF(H$76="","",IF(H$76=$B79,OFFSET($D$15,0,$B78)+OFFSET($D$12,0,$B78),OFFSET($D$15,0,$B78))))</f>
        <v>1058250</v>
      </c>
      <c r="I79" s="62">
        <f t="shared" ref="I79:I93" ca="1" si="29">IF($B79&gt;I$76,"",IF(I$76="","",IF(I$76=$B79,OFFSET($D$15,0,$B78)+OFFSET($D$12,0,$B78),OFFSET($D$15,0,$B78))))</f>
        <v>1058250</v>
      </c>
      <c r="J79" s="62">
        <f t="shared" ref="J79:J93" ca="1" si="30">IF($B79&gt;J$76,"",IF(J$76="","",IF(J$76=$B79,OFFSET($D$15,0,$B78)+OFFSET($D$12,0,$B78),OFFSET($D$15,0,$B78))))</f>
        <v>1058250</v>
      </c>
      <c r="K79" s="62">
        <f t="shared" ref="K79:K93" ca="1" si="31">IF($B79&gt;K$76,"",IF(K$76="","",IF(K$76=$B79,OFFSET($D$15,0,$B78)+OFFSET($D$12,0,$B78),OFFSET($D$15,0,$B78))))</f>
        <v>1058250</v>
      </c>
      <c r="L79" s="62">
        <f t="shared" ref="L79:L93" ca="1" si="32">IF($B79&gt;L$76,"",IF(L$76="","",IF(L$76=$B79,OFFSET($D$15,0,$B78)+OFFSET($D$12,0,$B78),OFFSET($D$15,0,$B78))))</f>
        <v>1058250</v>
      </c>
      <c r="M79" s="62">
        <f t="shared" ref="M79:M93" ca="1" si="33">IF($B79&gt;M$76,"",IF(M$76="","",IF(M$76=$B79,OFFSET($D$15,0,$B78)+OFFSET($D$12,0,$B78),OFFSET($D$15,0,$B78))))</f>
        <v>1058250</v>
      </c>
      <c r="N79" s="62" t="str">
        <f t="shared" ref="N79:N93" ca="1" si="34">IF($B79&gt;N$76,"",IF(N$76="","",IF(N$76=$B79,OFFSET($D$15,0,$B78)+OFFSET($D$12,0,$B78),OFFSET($D$15,0,$B78))))</f>
        <v/>
      </c>
      <c r="O79" s="62" t="str">
        <f t="shared" ref="O79:O93" ca="1" si="35">IF($B79&gt;O$76,"",IF(O$76="","",IF(O$76=$B79,OFFSET($D$15,0,$B78)+OFFSET($D$12,0,$B78),OFFSET($D$15,0,$B78))))</f>
        <v/>
      </c>
      <c r="P79" s="62" t="str">
        <f t="shared" ref="P79:P93" ca="1" si="36">IF($B79&gt;P$76,"",IF(P$76="","",IF(P$76=$B79,OFFSET($D$15,0,$B78)+OFFSET($D$12,0,$B78),OFFSET($D$15,0,$B78))))</f>
        <v/>
      </c>
      <c r="Q79" s="62" t="str">
        <f t="shared" ref="Q79:Q93" ca="1" si="37">IF($B79&gt;Q$76,"",IF(Q$76="","",IF(Q$76=$B79,OFFSET($D$15,0,$B78)+OFFSET($D$12,0,$B78),OFFSET($D$15,0,$B78))))</f>
        <v/>
      </c>
      <c r="R79" s="62" t="str">
        <f t="shared" ref="R79:R93" ca="1" si="38">IF($B79&gt;R$76,"",IF(R$76="","",IF(R$76=$B79,OFFSET($D$15,0,$B78)+OFFSET($D$12,0,$B78),OFFSET($D$15,0,$B78))))</f>
        <v/>
      </c>
    </row>
    <row r="80" spans="2:21" hidden="1" outlineLevel="1" x14ac:dyDescent="0.25">
      <c r="B80">
        <f t="shared" ref="B80:B93" si="39">B79+1</f>
        <v>2</v>
      </c>
      <c r="D80" s="62" t="str">
        <f t="shared" ca="1" si="24"/>
        <v/>
      </c>
      <c r="E80" s="62">
        <f t="shared" ca="1" si="25"/>
        <v>21054601.288167931</v>
      </c>
      <c r="F80" s="62">
        <f t="shared" ca="1" si="26"/>
        <v>1084706.2499999998</v>
      </c>
      <c r="G80" s="62">
        <f t="shared" ca="1" si="27"/>
        <v>1084706.2499999998</v>
      </c>
      <c r="H80" s="62">
        <f t="shared" ca="1" si="28"/>
        <v>1084706.2499999998</v>
      </c>
      <c r="I80" s="62">
        <f t="shared" ca="1" si="29"/>
        <v>1084706.2499999998</v>
      </c>
      <c r="J80" s="62">
        <f t="shared" ca="1" si="30"/>
        <v>1084706.2499999998</v>
      </c>
      <c r="K80" s="62">
        <f t="shared" ca="1" si="31"/>
        <v>1084706.2499999998</v>
      </c>
      <c r="L80" s="62">
        <f t="shared" ca="1" si="32"/>
        <v>1084706.2499999998</v>
      </c>
      <c r="M80" s="62">
        <f t="shared" ca="1" si="33"/>
        <v>1084706.2499999998</v>
      </c>
      <c r="N80" s="62" t="str">
        <f t="shared" ca="1" si="34"/>
        <v/>
      </c>
      <c r="O80" s="62" t="str">
        <f t="shared" ca="1" si="35"/>
        <v/>
      </c>
      <c r="P80" s="62" t="str">
        <f t="shared" ca="1" si="36"/>
        <v/>
      </c>
      <c r="Q80" s="62" t="str">
        <f t="shared" ca="1" si="37"/>
        <v/>
      </c>
      <c r="R80" s="62" t="str">
        <f t="shared" ca="1" si="38"/>
        <v/>
      </c>
    </row>
    <row r="81" spans="2:18" hidden="1" outlineLevel="1" x14ac:dyDescent="0.25">
      <c r="B81">
        <f t="shared" si="39"/>
        <v>3</v>
      </c>
      <c r="D81" s="62" t="str">
        <f t="shared" ca="1" si="24"/>
        <v/>
      </c>
      <c r="E81" s="62" t="str">
        <f t="shared" ca="1" si="25"/>
        <v/>
      </c>
      <c r="F81" s="62">
        <f t="shared" ca="1" si="26"/>
        <v>21425897.059659079</v>
      </c>
      <c r="G81" s="62">
        <f t="shared" ca="1" si="27"/>
        <v>1111823.9062499995</v>
      </c>
      <c r="H81" s="62">
        <f t="shared" ca="1" si="28"/>
        <v>1111823.9062499995</v>
      </c>
      <c r="I81" s="62">
        <f t="shared" ca="1" si="29"/>
        <v>1111823.9062499995</v>
      </c>
      <c r="J81" s="62">
        <f t="shared" ca="1" si="30"/>
        <v>1111823.9062499995</v>
      </c>
      <c r="K81" s="62">
        <f t="shared" ca="1" si="31"/>
        <v>1111823.9062499995</v>
      </c>
      <c r="L81" s="62">
        <f t="shared" ca="1" si="32"/>
        <v>1111823.9062499995</v>
      </c>
      <c r="M81" s="62">
        <f t="shared" ca="1" si="33"/>
        <v>1111823.9062499995</v>
      </c>
      <c r="N81" s="62" t="str">
        <f t="shared" ca="1" si="34"/>
        <v/>
      </c>
      <c r="O81" s="62" t="str">
        <f t="shared" ca="1" si="35"/>
        <v/>
      </c>
      <c r="P81" s="62" t="str">
        <f t="shared" ca="1" si="36"/>
        <v/>
      </c>
      <c r="Q81" s="62" t="str">
        <f t="shared" ca="1" si="37"/>
        <v/>
      </c>
      <c r="R81" s="62" t="str">
        <f t="shared" ca="1" si="38"/>
        <v/>
      </c>
    </row>
    <row r="82" spans="2:18" hidden="1" outlineLevel="1" x14ac:dyDescent="0.25">
      <c r="B82">
        <f t="shared" si="39"/>
        <v>4</v>
      </c>
      <c r="D82" s="62" t="str">
        <f t="shared" ca="1" si="24"/>
        <v/>
      </c>
      <c r="E82" s="62" t="str">
        <f t="shared" ca="1" si="25"/>
        <v/>
      </c>
      <c r="F82" s="62" t="str">
        <f t="shared" ca="1" si="26"/>
        <v/>
      </c>
      <c r="G82" s="62">
        <f t="shared" ca="1" si="27"/>
        <v>21804988.659216385</v>
      </c>
      <c r="H82" s="62">
        <f t="shared" ca="1" si="28"/>
        <v>1139619.5039062493</v>
      </c>
      <c r="I82" s="62">
        <f t="shared" ca="1" si="29"/>
        <v>1139619.5039062493</v>
      </c>
      <c r="J82" s="62">
        <f t="shared" ca="1" si="30"/>
        <v>1139619.5039062493</v>
      </c>
      <c r="K82" s="62">
        <f t="shared" ca="1" si="31"/>
        <v>1139619.5039062493</v>
      </c>
      <c r="L82" s="62">
        <f t="shared" ca="1" si="32"/>
        <v>1139619.5039062493</v>
      </c>
      <c r="M82" s="62">
        <f t="shared" ca="1" si="33"/>
        <v>1139619.5039062493</v>
      </c>
      <c r="N82" s="62" t="str">
        <f t="shared" ca="1" si="34"/>
        <v/>
      </c>
      <c r="O82" s="62" t="str">
        <f t="shared" ca="1" si="35"/>
        <v/>
      </c>
      <c r="P82" s="62" t="str">
        <f t="shared" ca="1" si="36"/>
        <v/>
      </c>
      <c r="Q82" s="62" t="str">
        <f t="shared" ca="1" si="37"/>
        <v/>
      </c>
      <c r="R82" s="62" t="str">
        <f t="shared" ca="1" si="38"/>
        <v/>
      </c>
    </row>
    <row r="83" spans="2:18" hidden="1" outlineLevel="1" x14ac:dyDescent="0.25">
      <c r="B83">
        <f t="shared" si="39"/>
        <v>5</v>
      </c>
      <c r="D83" s="62" t="str">
        <f t="shared" ca="1" si="24"/>
        <v/>
      </c>
      <c r="E83" s="62" t="str">
        <f t="shared" ca="1" si="25"/>
        <v/>
      </c>
      <c r="F83" s="62" t="str">
        <f t="shared" ca="1" si="26"/>
        <v/>
      </c>
      <c r="G83" s="62" t="str">
        <f t="shared" ca="1" si="27"/>
        <v/>
      </c>
      <c r="H83" s="62">
        <f t="shared" ca="1" si="28"/>
        <v>22192038.72357595</v>
      </c>
      <c r="I83" s="62">
        <f t="shared" ca="1" si="29"/>
        <v>1168109.9915039055</v>
      </c>
      <c r="J83" s="62">
        <f t="shared" ca="1" si="30"/>
        <v>1168109.9915039055</v>
      </c>
      <c r="K83" s="62">
        <f t="shared" ca="1" si="31"/>
        <v>1168109.9915039055</v>
      </c>
      <c r="L83" s="62">
        <f t="shared" ca="1" si="32"/>
        <v>1168109.9915039055</v>
      </c>
      <c r="M83" s="62">
        <f t="shared" ca="1" si="33"/>
        <v>1168109.9915039055</v>
      </c>
      <c r="N83" s="62" t="str">
        <f t="shared" ca="1" si="34"/>
        <v/>
      </c>
      <c r="O83" s="62" t="str">
        <f t="shared" ca="1" si="35"/>
        <v/>
      </c>
      <c r="P83" s="62" t="str">
        <f t="shared" ca="1" si="36"/>
        <v/>
      </c>
      <c r="Q83" s="62" t="str">
        <f t="shared" ca="1" si="37"/>
        <v/>
      </c>
      <c r="R83" s="62" t="str">
        <f t="shared" ca="1" si="38"/>
        <v/>
      </c>
    </row>
    <row r="84" spans="2:18" hidden="1" outlineLevel="1" x14ac:dyDescent="0.25">
      <c r="B84">
        <f t="shared" si="39"/>
        <v>6</v>
      </c>
      <c r="D84" s="62" t="str">
        <f t="shared" ca="1" si="24"/>
        <v/>
      </c>
      <c r="E84" s="62" t="str">
        <f t="shared" ca="1" si="25"/>
        <v/>
      </c>
      <c r="F84" s="62" t="str">
        <f t="shared" ca="1" si="26"/>
        <v/>
      </c>
      <c r="G84" s="62" t="str">
        <f t="shared" ca="1" si="27"/>
        <v/>
      </c>
      <c r="H84" s="62" t="str">
        <f t="shared" ca="1" si="28"/>
        <v/>
      </c>
      <c r="I84" s="62">
        <f t="shared" ca="1" si="29"/>
        <v>22587213.566107024</v>
      </c>
      <c r="J84" s="62">
        <f t="shared" ca="1" si="30"/>
        <v>1197312.741291503</v>
      </c>
      <c r="K84" s="62">
        <f t="shared" ca="1" si="31"/>
        <v>1197312.741291503</v>
      </c>
      <c r="L84" s="62">
        <f t="shared" ca="1" si="32"/>
        <v>1197312.741291503</v>
      </c>
      <c r="M84" s="62">
        <f t="shared" ca="1" si="33"/>
        <v>1197312.741291503</v>
      </c>
      <c r="N84" s="62" t="str">
        <f t="shared" ca="1" si="34"/>
        <v/>
      </c>
      <c r="O84" s="62" t="str">
        <f t="shared" ca="1" si="35"/>
        <v/>
      </c>
      <c r="P84" s="62" t="str">
        <f t="shared" ca="1" si="36"/>
        <v/>
      </c>
      <c r="Q84" s="62" t="str">
        <f t="shared" ca="1" si="37"/>
        <v/>
      </c>
      <c r="R84" s="62" t="str">
        <f t="shared" ca="1" si="38"/>
        <v/>
      </c>
    </row>
    <row r="85" spans="2:18" hidden="1" outlineLevel="1" x14ac:dyDescent="0.25">
      <c r="B85">
        <f t="shared" si="39"/>
        <v>7</v>
      </c>
      <c r="D85" s="62" t="str">
        <f t="shared" ca="1" si="24"/>
        <v/>
      </c>
      <c r="E85" s="62" t="str">
        <f t="shared" ca="1" si="25"/>
        <v/>
      </c>
      <c r="F85" s="62" t="str">
        <f t="shared" ca="1" si="26"/>
        <v/>
      </c>
      <c r="G85" s="62" t="str">
        <f t="shared" ca="1" si="27"/>
        <v/>
      </c>
      <c r="H85" s="62" t="str">
        <f t="shared" ca="1" si="28"/>
        <v/>
      </c>
      <c r="I85" s="62" t="str">
        <f t="shared" ca="1" si="29"/>
        <v/>
      </c>
      <c r="J85" s="62">
        <f t="shared" ca="1" si="30"/>
        <v>22990683.255660906</v>
      </c>
      <c r="K85" s="62">
        <f t="shared" ca="1" si="31"/>
        <v>1227245.5598237906</v>
      </c>
      <c r="L85" s="62">
        <f t="shared" ca="1" si="32"/>
        <v>1227245.5598237906</v>
      </c>
      <c r="M85" s="62">
        <f t="shared" ca="1" si="33"/>
        <v>1227245.5598237906</v>
      </c>
      <c r="N85" s="62" t="str">
        <f t="shared" ca="1" si="34"/>
        <v/>
      </c>
      <c r="O85" s="62" t="str">
        <f t="shared" ca="1" si="35"/>
        <v/>
      </c>
      <c r="P85" s="62" t="str">
        <f t="shared" ca="1" si="36"/>
        <v/>
      </c>
      <c r="Q85" s="62" t="str">
        <f t="shared" ca="1" si="37"/>
        <v/>
      </c>
      <c r="R85" s="62" t="str">
        <f t="shared" ca="1" si="38"/>
        <v/>
      </c>
    </row>
    <row r="86" spans="2:18" hidden="1" outlineLevel="1" x14ac:dyDescent="0.25">
      <c r="B86">
        <f t="shared" si="39"/>
        <v>8</v>
      </c>
      <c r="D86" s="62" t="str">
        <f t="shared" ca="1" si="24"/>
        <v/>
      </c>
      <c r="E86" s="62" t="str">
        <f t="shared" ca="1" si="25"/>
        <v/>
      </c>
      <c r="F86" s="62" t="str">
        <f t="shared" ca="1" si="26"/>
        <v/>
      </c>
      <c r="G86" s="62" t="str">
        <f t="shared" ca="1" si="27"/>
        <v/>
      </c>
      <c r="H86" s="62" t="str">
        <f t="shared" ca="1" si="28"/>
        <v/>
      </c>
      <c r="I86" s="62" t="str">
        <f t="shared" ca="1" si="29"/>
        <v/>
      </c>
      <c r="J86" s="62" t="str">
        <f t="shared" ca="1" si="30"/>
        <v/>
      </c>
      <c r="K86" s="62">
        <f t="shared" ca="1" si="31"/>
        <v>23402621.697357289</v>
      </c>
      <c r="L86" s="62">
        <f t="shared" ca="1" si="32"/>
        <v>1257926.6988193851</v>
      </c>
      <c r="M86" s="62">
        <f t="shared" ca="1" si="33"/>
        <v>1257926.6988193851</v>
      </c>
      <c r="N86" s="62" t="str">
        <f t="shared" ca="1" si="34"/>
        <v/>
      </c>
      <c r="O86" s="62" t="str">
        <f t="shared" ca="1" si="35"/>
        <v/>
      </c>
      <c r="P86" s="62" t="str">
        <f t="shared" ca="1" si="36"/>
        <v/>
      </c>
      <c r="Q86" s="62" t="str">
        <f t="shared" ca="1" si="37"/>
        <v/>
      </c>
      <c r="R86" s="62" t="str">
        <f t="shared" ca="1" si="38"/>
        <v/>
      </c>
    </row>
    <row r="87" spans="2:18" hidden="1" outlineLevel="1" x14ac:dyDescent="0.25">
      <c r="B87">
        <f t="shared" si="39"/>
        <v>9</v>
      </c>
      <c r="D87" s="62" t="str">
        <f t="shared" ca="1" si="24"/>
        <v/>
      </c>
      <c r="E87" s="62" t="str">
        <f t="shared" ca="1" si="25"/>
        <v/>
      </c>
      <c r="F87" s="62" t="str">
        <f t="shared" ca="1" si="26"/>
        <v/>
      </c>
      <c r="G87" s="62" t="str">
        <f t="shared" ca="1" si="27"/>
        <v/>
      </c>
      <c r="H87" s="62" t="str">
        <f t="shared" ca="1" si="28"/>
        <v/>
      </c>
      <c r="I87" s="62" t="str">
        <f t="shared" ca="1" si="29"/>
        <v/>
      </c>
      <c r="J87" s="62" t="str">
        <f t="shared" ca="1" si="30"/>
        <v/>
      </c>
      <c r="K87" s="62" t="str">
        <f t="shared" ca="1" si="31"/>
        <v/>
      </c>
      <c r="L87" s="62">
        <f t="shared" ca="1" si="32"/>
        <v>23823206.715345558</v>
      </c>
      <c r="M87" s="62">
        <f t="shared" ca="1" si="33"/>
        <v>1289374.8662898696</v>
      </c>
      <c r="N87" s="62" t="str">
        <f t="shared" ca="1" si="34"/>
        <v/>
      </c>
      <c r="O87" s="62" t="str">
        <f t="shared" ca="1" si="35"/>
        <v/>
      </c>
      <c r="P87" s="62" t="str">
        <f t="shared" ca="1" si="36"/>
        <v/>
      </c>
      <c r="Q87" s="62" t="str">
        <f t="shared" ca="1" si="37"/>
        <v/>
      </c>
      <c r="R87" s="62" t="str">
        <f t="shared" ca="1" si="38"/>
        <v/>
      </c>
    </row>
    <row r="88" spans="2:18" hidden="1" outlineLevel="1" x14ac:dyDescent="0.25">
      <c r="B88">
        <f t="shared" si="39"/>
        <v>10</v>
      </c>
      <c r="D88" s="62" t="str">
        <f t="shared" ca="1" si="24"/>
        <v/>
      </c>
      <c r="E88" s="62" t="str">
        <f t="shared" ca="1" si="25"/>
        <v/>
      </c>
      <c r="F88" s="62" t="str">
        <f t="shared" ca="1" si="26"/>
        <v/>
      </c>
      <c r="G88" s="62" t="str">
        <f t="shared" ca="1" si="27"/>
        <v/>
      </c>
      <c r="H88" s="62" t="str">
        <f t="shared" ca="1" si="28"/>
        <v/>
      </c>
      <c r="I88" s="62" t="str">
        <f t="shared" ca="1" si="29"/>
        <v/>
      </c>
      <c r="J88" s="62" t="str">
        <f t="shared" ca="1" si="30"/>
        <v/>
      </c>
      <c r="K88" s="62" t="str">
        <f t="shared" ca="1" si="31"/>
        <v/>
      </c>
      <c r="L88" s="62" t="str">
        <f t="shared" ca="1" si="32"/>
        <v/>
      </c>
      <c r="M88" s="62">
        <f t="shared" ca="1" si="33"/>
        <v>24252620.137579683</v>
      </c>
      <c r="N88" s="62" t="str">
        <f t="shared" ca="1" si="34"/>
        <v/>
      </c>
      <c r="O88" s="62" t="str">
        <f t="shared" ca="1" si="35"/>
        <v/>
      </c>
      <c r="P88" s="62" t="str">
        <f t="shared" ca="1" si="36"/>
        <v/>
      </c>
      <c r="Q88" s="62" t="str">
        <f t="shared" ca="1" si="37"/>
        <v/>
      </c>
      <c r="R88" s="62" t="str">
        <f t="shared" ca="1" si="38"/>
        <v/>
      </c>
    </row>
    <row r="89" spans="2:18" hidden="1" outlineLevel="1" x14ac:dyDescent="0.25">
      <c r="B89">
        <f t="shared" si="39"/>
        <v>11</v>
      </c>
      <c r="D89" s="62" t="str">
        <f t="shared" ca="1" si="24"/>
        <v/>
      </c>
      <c r="E89" s="62" t="str">
        <f t="shared" ca="1" si="25"/>
        <v/>
      </c>
      <c r="F89" s="62" t="str">
        <f t="shared" ca="1" si="26"/>
        <v/>
      </c>
      <c r="G89" s="62" t="str">
        <f t="shared" ca="1" si="27"/>
        <v/>
      </c>
      <c r="H89" s="62" t="str">
        <f t="shared" ca="1" si="28"/>
        <v/>
      </c>
      <c r="I89" s="62" t="str">
        <f t="shared" ca="1" si="29"/>
        <v/>
      </c>
      <c r="J89" s="62" t="str">
        <f t="shared" ca="1" si="30"/>
        <v/>
      </c>
      <c r="K89" s="62" t="str">
        <f t="shared" ca="1" si="31"/>
        <v/>
      </c>
      <c r="L89" s="62" t="str">
        <f t="shared" ca="1" si="32"/>
        <v/>
      </c>
      <c r="M89" s="62" t="str">
        <f t="shared" ca="1" si="33"/>
        <v/>
      </c>
      <c r="N89" s="62" t="str">
        <f t="shared" ca="1" si="34"/>
        <v/>
      </c>
      <c r="O89" s="62" t="str">
        <f t="shared" ca="1" si="35"/>
        <v/>
      </c>
      <c r="P89" s="62" t="str">
        <f t="shared" ca="1" si="36"/>
        <v/>
      </c>
      <c r="Q89" s="62" t="str">
        <f t="shared" ca="1" si="37"/>
        <v/>
      </c>
      <c r="R89" s="62" t="str">
        <f t="shared" ca="1" si="38"/>
        <v/>
      </c>
    </row>
    <row r="90" spans="2:18" hidden="1" outlineLevel="1" x14ac:dyDescent="0.25">
      <c r="B90">
        <f t="shared" si="39"/>
        <v>12</v>
      </c>
      <c r="D90" s="62" t="str">
        <f t="shared" ca="1" si="24"/>
        <v/>
      </c>
      <c r="E90" s="62" t="str">
        <f t="shared" ca="1" si="25"/>
        <v/>
      </c>
      <c r="F90" s="62" t="str">
        <f t="shared" ca="1" si="26"/>
        <v/>
      </c>
      <c r="G90" s="62" t="str">
        <f t="shared" ca="1" si="27"/>
        <v/>
      </c>
      <c r="H90" s="62" t="str">
        <f t="shared" ca="1" si="28"/>
        <v/>
      </c>
      <c r="I90" s="62" t="str">
        <f t="shared" ca="1" si="29"/>
        <v/>
      </c>
      <c r="J90" s="62" t="str">
        <f t="shared" ca="1" si="30"/>
        <v/>
      </c>
      <c r="K90" s="62" t="str">
        <f t="shared" ca="1" si="31"/>
        <v/>
      </c>
      <c r="L90" s="62" t="str">
        <f t="shared" ca="1" si="32"/>
        <v/>
      </c>
      <c r="M90" s="62" t="str">
        <f t="shared" ca="1" si="33"/>
        <v/>
      </c>
      <c r="N90" s="62" t="str">
        <f t="shared" ca="1" si="34"/>
        <v/>
      </c>
      <c r="O90" s="62" t="str">
        <f t="shared" ca="1" si="35"/>
        <v/>
      </c>
      <c r="P90" s="62" t="str">
        <f t="shared" ca="1" si="36"/>
        <v/>
      </c>
      <c r="Q90" s="62" t="str">
        <f t="shared" ca="1" si="37"/>
        <v/>
      </c>
      <c r="R90" s="62" t="str">
        <f t="shared" ca="1" si="38"/>
        <v/>
      </c>
    </row>
    <row r="91" spans="2:18" hidden="1" outlineLevel="1" x14ac:dyDescent="0.25">
      <c r="B91">
        <f t="shared" si="39"/>
        <v>13</v>
      </c>
      <c r="D91" s="62" t="str">
        <f t="shared" ca="1" si="24"/>
        <v/>
      </c>
      <c r="E91" s="62" t="str">
        <f t="shared" ca="1" si="25"/>
        <v/>
      </c>
      <c r="F91" s="62" t="str">
        <f t="shared" ca="1" si="26"/>
        <v/>
      </c>
      <c r="G91" s="62" t="str">
        <f t="shared" ca="1" si="27"/>
        <v/>
      </c>
      <c r="H91" s="62" t="str">
        <f t="shared" ca="1" si="28"/>
        <v/>
      </c>
      <c r="I91" s="62" t="str">
        <f t="shared" ca="1" si="29"/>
        <v/>
      </c>
      <c r="J91" s="62" t="str">
        <f t="shared" ca="1" si="30"/>
        <v/>
      </c>
      <c r="K91" s="62" t="str">
        <f t="shared" ca="1" si="31"/>
        <v/>
      </c>
      <c r="L91" s="62" t="str">
        <f t="shared" ca="1" si="32"/>
        <v/>
      </c>
      <c r="M91" s="62" t="str">
        <f t="shared" ca="1" si="33"/>
        <v/>
      </c>
      <c r="N91" s="62" t="str">
        <f t="shared" ca="1" si="34"/>
        <v/>
      </c>
      <c r="O91" s="62" t="str">
        <f t="shared" ca="1" si="35"/>
        <v/>
      </c>
      <c r="P91" s="62" t="str">
        <f t="shared" ca="1" si="36"/>
        <v/>
      </c>
      <c r="Q91" s="62" t="str">
        <f t="shared" ca="1" si="37"/>
        <v/>
      </c>
      <c r="R91" s="62" t="str">
        <f t="shared" ca="1" si="38"/>
        <v/>
      </c>
    </row>
    <row r="92" spans="2:18" hidden="1" outlineLevel="1" x14ac:dyDescent="0.25">
      <c r="B92">
        <f t="shared" si="39"/>
        <v>14</v>
      </c>
      <c r="D92" s="62" t="str">
        <f t="shared" ca="1" si="24"/>
        <v/>
      </c>
      <c r="E92" s="62" t="str">
        <f t="shared" ca="1" si="25"/>
        <v/>
      </c>
      <c r="F92" s="62" t="str">
        <f t="shared" ca="1" si="26"/>
        <v/>
      </c>
      <c r="G92" s="62" t="str">
        <f t="shared" ca="1" si="27"/>
        <v/>
      </c>
      <c r="H92" s="62" t="str">
        <f t="shared" ca="1" si="28"/>
        <v/>
      </c>
      <c r="I92" s="62" t="str">
        <f t="shared" ca="1" si="29"/>
        <v/>
      </c>
      <c r="J92" s="62" t="str">
        <f t="shared" ca="1" si="30"/>
        <v/>
      </c>
      <c r="K92" s="62" t="str">
        <f t="shared" ca="1" si="31"/>
        <v/>
      </c>
      <c r="L92" s="62" t="str">
        <f t="shared" ca="1" si="32"/>
        <v/>
      </c>
      <c r="M92" s="62" t="str">
        <f t="shared" ca="1" si="33"/>
        <v/>
      </c>
      <c r="N92" s="62" t="str">
        <f t="shared" ca="1" si="34"/>
        <v/>
      </c>
      <c r="O92" s="62" t="str">
        <f t="shared" ca="1" si="35"/>
        <v/>
      </c>
      <c r="P92" s="62" t="str">
        <f t="shared" ca="1" si="36"/>
        <v/>
      </c>
      <c r="Q92" s="62" t="str">
        <f t="shared" ca="1" si="37"/>
        <v/>
      </c>
      <c r="R92" s="62" t="str">
        <f t="shared" ca="1" si="38"/>
        <v/>
      </c>
    </row>
    <row r="93" spans="2:18" hidden="1" outlineLevel="1" x14ac:dyDescent="0.25">
      <c r="B93">
        <f t="shared" si="39"/>
        <v>15</v>
      </c>
      <c r="D93" s="62" t="str">
        <f t="shared" ca="1" si="24"/>
        <v/>
      </c>
      <c r="E93" s="62" t="str">
        <f t="shared" ca="1" si="25"/>
        <v/>
      </c>
      <c r="F93" s="62" t="str">
        <f t="shared" ca="1" si="26"/>
        <v/>
      </c>
      <c r="G93" s="62" t="str">
        <f t="shared" ca="1" si="27"/>
        <v/>
      </c>
      <c r="H93" s="62" t="str">
        <f t="shared" ca="1" si="28"/>
        <v/>
      </c>
      <c r="I93" s="62" t="str">
        <f t="shared" ca="1" si="29"/>
        <v/>
      </c>
      <c r="J93" s="62" t="str">
        <f t="shared" ca="1" si="30"/>
        <v/>
      </c>
      <c r="K93" s="62" t="str">
        <f t="shared" ca="1" si="31"/>
        <v/>
      </c>
      <c r="L93" s="62" t="str">
        <f t="shared" ca="1" si="32"/>
        <v/>
      </c>
      <c r="M93" s="62" t="str">
        <f t="shared" ca="1" si="33"/>
        <v/>
      </c>
      <c r="N93" s="62" t="str">
        <f t="shared" ca="1" si="34"/>
        <v/>
      </c>
      <c r="O93" s="62" t="str">
        <f t="shared" ca="1" si="35"/>
        <v/>
      </c>
      <c r="P93" s="62" t="str">
        <f t="shared" ca="1" si="36"/>
        <v/>
      </c>
      <c r="Q93" s="62" t="str">
        <f t="shared" ca="1" si="37"/>
        <v/>
      </c>
      <c r="R93" s="62" t="str">
        <f t="shared" ca="1" si="38"/>
        <v/>
      </c>
    </row>
    <row r="94" spans="2:18" hidden="1" outlineLevel="1" x14ac:dyDescent="0.25"/>
    <row r="95" spans="2:18" hidden="1" outlineLevel="1" x14ac:dyDescent="0.25">
      <c r="B95" s="61" t="s">
        <v>62</v>
      </c>
    </row>
    <row r="96" spans="2:18" hidden="1" outlineLevel="1" x14ac:dyDescent="0.25">
      <c r="B96" s="60" t="s">
        <v>60</v>
      </c>
      <c r="C96" s="71"/>
      <c r="D96" s="9">
        <f>D76</f>
        <v>1</v>
      </c>
      <c r="E96" s="9">
        <f t="shared" ref="E96:R96" si="40">E76</f>
        <v>2</v>
      </c>
      <c r="F96" s="9">
        <f t="shared" si="40"/>
        <v>3</v>
      </c>
      <c r="G96" s="9">
        <f t="shared" si="40"/>
        <v>4</v>
      </c>
      <c r="H96" s="9">
        <f t="shared" si="40"/>
        <v>5</v>
      </c>
      <c r="I96" s="9">
        <f t="shared" si="40"/>
        <v>6</v>
      </c>
      <c r="J96" s="9">
        <f t="shared" si="40"/>
        <v>7</v>
      </c>
      <c r="K96" s="9">
        <f t="shared" si="40"/>
        <v>8</v>
      </c>
      <c r="L96" s="9">
        <f t="shared" si="40"/>
        <v>9</v>
      </c>
      <c r="M96" s="9">
        <f t="shared" si="40"/>
        <v>10</v>
      </c>
      <c r="N96" s="9" t="str">
        <f t="shared" si="40"/>
        <v/>
      </c>
      <c r="O96" s="9" t="str">
        <f t="shared" si="40"/>
        <v/>
      </c>
      <c r="P96" s="9" t="str">
        <f t="shared" si="40"/>
        <v/>
      </c>
      <c r="Q96" s="9" t="str">
        <f t="shared" si="40"/>
        <v/>
      </c>
      <c r="R96" s="9" t="str">
        <f t="shared" si="40"/>
        <v/>
      </c>
    </row>
    <row r="97" spans="2:18" hidden="1" outlineLevel="1" x14ac:dyDescent="0.25">
      <c r="B97" s="60" t="s">
        <v>61</v>
      </c>
      <c r="C97" s="71"/>
      <c r="D97" s="63">
        <f ca="1">IFERROR(IF(D96="","",IRR(D98:D113)),"")</f>
        <v>0.80912060502116123</v>
      </c>
      <c r="E97" s="63">
        <f t="shared" ref="E97:R97" ca="1" si="41">IFERROR(IF(E96="","",IRR(E98:E113)),"")</f>
        <v>0.41696121438604372</v>
      </c>
      <c r="F97" s="63">
        <f t="shared" ca="1" si="41"/>
        <v>0.30627189500024343</v>
      </c>
      <c r="G97" s="63">
        <f t="shared" ca="1" si="41"/>
        <v>0.25423187647941825</v>
      </c>
      <c r="H97" s="63">
        <f t="shared" ca="1" si="41"/>
        <v>0.22401670924238681</v>
      </c>
      <c r="I97" s="63">
        <f t="shared" ca="1" si="41"/>
        <v>0.20428777333326908</v>
      </c>
      <c r="J97" s="63">
        <f t="shared" ca="1" si="41"/>
        <v>0.19040161773995523</v>
      </c>
      <c r="K97" s="63">
        <f t="shared" ca="1" si="41"/>
        <v>0.18010480222790815</v>
      </c>
      <c r="L97" s="63">
        <f t="shared" ca="1" si="41"/>
        <v>0.17217164285869813</v>
      </c>
      <c r="M97" s="63">
        <f t="shared" ca="1" si="41"/>
        <v>0.16587823457627726</v>
      </c>
      <c r="N97" s="63" t="str">
        <f t="shared" si="41"/>
        <v/>
      </c>
      <c r="O97" s="63" t="str">
        <f t="shared" si="41"/>
        <v/>
      </c>
      <c r="P97" s="63" t="str">
        <f t="shared" si="41"/>
        <v/>
      </c>
      <c r="Q97" s="63" t="str">
        <f t="shared" si="41"/>
        <v/>
      </c>
      <c r="R97" s="63" t="str">
        <f t="shared" si="41"/>
        <v/>
      </c>
    </row>
    <row r="98" spans="2:18" hidden="1" outlineLevel="1" x14ac:dyDescent="0.25">
      <c r="B98" s="60">
        <v>0</v>
      </c>
      <c r="D98" s="48">
        <f>IF(D96="","",-(VLOOKUP(Property,P_List_Table_2,8,FALSE)+(-SUMIF($D$33:D33,"&lt;0"))))</f>
        <v>-6240000</v>
      </c>
      <c r="E98" s="48">
        <f>IF(E96="","",-(VLOOKUP(Property,P_List_Table_2,8,FALSE)+(-SUMIF($D$33:E33,"&lt;0"))))</f>
        <v>-6240000</v>
      </c>
      <c r="F98" s="48">
        <f>IF(F96="","",-(VLOOKUP(Property,P_List_Table_2,8,FALSE)+(-SUMIF($D$33:F33,"&lt;0"))))</f>
        <v>-6240000</v>
      </c>
      <c r="G98" s="48">
        <f>IF(G96="","",-(VLOOKUP(Property,P_List_Table_2,8,FALSE)+(-SUMIF($D$33:G33,"&lt;0"))))</f>
        <v>-6240000</v>
      </c>
      <c r="H98" s="48">
        <f>IF(H96="","",-(VLOOKUP(Property,P_List_Table_2,8,FALSE)+(-SUMIF($D$33:H33,"&lt;0"))))</f>
        <v>-6240000</v>
      </c>
      <c r="I98" s="48">
        <f>IF(I96="","",-(VLOOKUP(Property,P_List_Table_2,8,FALSE)+(-SUMIF($D$33:I33,"&lt;0"))))</f>
        <v>-6240000</v>
      </c>
      <c r="J98" s="48">
        <f>IF(J96="","",-(VLOOKUP(Property,P_List_Table_2,8,FALSE)+(-SUMIF($D$33:J33,"&lt;0"))))</f>
        <v>-6240000</v>
      </c>
      <c r="K98" s="48">
        <f>IF(K96="","",-(VLOOKUP(Property,P_List_Table_2,8,FALSE)+(-SUMIF($D$33:K33,"&lt;0"))))</f>
        <v>-6240000</v>
      </c>
      <c r="L98" s="48">
        <f>IF(L96="","",-(VLOOKUP(Property,P_List_Table_2,8,FALSE)+(-SUMIF($D$33:L33,"&lt;0"))))</f>
        <v>-6240000</v>
      </c>
      <c r="M98" s="48">
        <f>IF(M96="","",-(VLOOKUP(Property,P_List_Table_2,8,FALSE)+(-SUMIF($D$33:M33,"&lt;0"))))</f>
        <v>-6240000</v>
      </c>
      <c r="N98" s="48" t="str">
        <f>IF(N96="","",-(VLOOKUP(Property,P_List_Table_2,8,FALSE)+(-SUMIF($D$33:N33,"&lt;0"))))</f>
        <v/>
      </c>
      <c r="O98" s="48" t="str">
        <f>IF(O96="","",-(VLOOKUP(Property,P_List_Table_2,8,FALSE)+(-SUMIF($D$33:O33,"&lt;0"))))</f>
        <v/>
      </c>
      <c r="P98" s="48" t="str">
        <f>IF(P96="","",-(VLOOKUP(Property,P_List_Table_2,8,FALSE)+(-SUMIF($D$33:P33,"&lt;0"))))</f>
        <v/>
      </c>
      <c r="Q98" s="48" t="str">
        <f>IF(Q96="","",-(VLOOKUP(Property,P_List_Table_2,8,FALSE)+(-SUMIF($D$33:Q33,"&lt;0"))))</f>
        <v/>
      </c>
      <c r="R98" s="48" t="str">
        <f>IF(R96="","",-(VLOOKUP(Property,P_List_Table_2,8,FALSE)+(-SUMIF($D$33:R33,"&lt;0"))))</f>
        <v/>
      </c>
    </row>
    <row r="99" spans="2:18" hidden="1" outlineLevel="1" x14ac:dyDescent="0.25">
      <c r="B99">
        <f>B98+1</f>
        <v>1</v>
      </c>
      <c r="D99" s="62">
        <f t="shared" ref="D99:D113" ca="1" si="42">IF($B99&gt;D$76,"",IF(D$76="","",IF(D$76=$B99,OFFSET($D$33,0,$B98)+OFFSET($D$30,0,$B98),OFFSET($D$33,0,$B98))))</f>
        <v>11288912.575332046</v>
      </c>
      <c r="E99" s="62">
        <f t="shared" ref="E99:E113" ca="1" si="43">IF($B99&gt;E$76,"",IF(E$76="","",IF(E$76=$B99,OFFSET($D$33,0,$B98)+OFFSET($D$30,0,$B98),OFFSET($D$33,0,$B98))))</f>
        <v>511029.86538804881</v>
      </c>
      <c r="F99" s="62">
        <f t="shared" ref="F99:F113" ca="1" si="44">IF($B99&gt;F$76,"",IF(F$76="","",IF(F$76=$B99,OFFSET($D$33,0,$B98)+OFFSET($D$30,0,$B98),OFFSET($D$33,0,$B98))))</f>
        <v>511029.86538804881</v>
      </c>
      <c r="G99" s="62">
        <f t="shared" ref="G99:G113" ca="1" si="45">IF($B99&gt;G$76,"",IF(G$76="","",IF(G$76=$B99,OFFSET($D$33,0,$B98)+OFFSET($D$30,0,$B98),OFFSET($D$33,0,$B98))))</f>
        <v>511029.86538804881</v>
      </c>
      <c r="H99" s="62">
        <f t="shared" ref="H99:H113" ca="1" si="46">IF($B99&gt;H$76,"",IF(H$76="","",IF(H$76=$B99,OFFSET($D$33,0,$B98)+OFFSET($D$30,0,$B98),OFFSET($D$33,0,$B98))))</f>
        <v>511029.86538804881</v>
      </c>
      <c r="I99" s="62">
        <f t="shared" ref="I99:I113" ca="1" si="47">IF($B99&gt;I$76,"",IF(I$76="","",IF(I$76=$B99,OFFSET($D$33,0,$B98)+OFFSET($D$30,0,$B98),OFFSET($D$33,0,$B98))))</f>
        <v>511029.86538804881</v>
      </c>
      <c r="J99" s="62">
        <f t="shared" ref="J99:J113" ca="1" si="48">IF($B99&gt;J$76,"",IF(J$76="","",IF(J$76=$B99,OFFSET($D$33,0,$B98)+OFFSET($D$30,0,$B98),OFFSET($D$33,0,$B98))))</f>
        <v>511029.86538804881</v>
      </c>
      <c r="K99" s="62">
        <f t="shared" ref="K99:K113" ca="1" si="49">IF($B99&gt;K$76,"",IF(K$76="","",IF(K$76=$B99,OFFSET($D$33,0,$B98)+OFFSET($D$30,0,$B98),OFFSET($D$33,0,$B98))))</f>
        <v>511029.86538804881</v>
      </c>
      <c r="L99" s="62">
        <f t="shared" ref="L99:L113" ca="1" si="50">IF($B99&gt;L$76,"",IF(L$76="","",IF(L$76=$B99,OFFSET($D$33,0,$B98)+OFFSET($D$30,0,$B98),OFFSET($D$33,0,$B98))))</f>
        <v>511029.86538804881</v>
      </c>
      <c r="M99" s="62">
        <f t="shared" ref="M99:M113" ca="1" si="51">IF($B99&gt;M$76,"",IF(M$76="","",IF(M$76=$B99,OFFSET($D$33,0,$B98)+OFFSET($D$30,0,$B98),OFFSET($D$33,0,$B98))))</f>
        <v>511029.86538804881</v>
      </c>
      <c r="N99" s="62" t="str">
        <f t="shared" ref="N99:N113" ca="1" si="52">IF($B99&gt;N$76,"",IF(N$76="","",IF(N$76=$B99,OFFSET($D$33,0,$B98)+OFFSET($D$30,0,$B98),OFFSET($D$33,0,$B98))))</f>
        <v/>
      </c>
      <c r="O99" s="62" t="str">
        <f t="shared" ref="O99:O113" ca="1" si="53">IF($B99&gt;O$76,"",IF(O$76="","",IF(O$76=$B99,OFFSET($D$33,0,$B98)+OFFSET($D$30,0,$B98),OFFSET($D$33,0,$B98))))</f>
        <v/>
      </c>
      <c r="P99" s="62" t="str">
        <f t="shared" ref="P99:P113" ca="1" si="54">IF($B99&gt;P$76,"",IF(P$76="","",IF(P$76=$B99,OFFSET($D$33,0,$B98)+OFFSET($D$30,0,$B98),OFFSET($D$33,0,$B98))))</f>
        <v/>
      </c>
      <c r="Q99" s="62" t="str">
        <f t="shared" ref="Q99:Q113" ca="1" si="55">IF($B99&gt;Q$76,"",IF(Q$76="","",IF(Q$76=$B99,OFFSET($D$33,0,$B98)+OFFSET($D$30,0,$B98),OFFSET($D$33,0,$B98))))</f>
        <v/>
      </c>
      <c r="R99" s="62" t="str">
        <f t="shared" ref="R99:R113" ca="1" si="56">IF($B99&gt;R$76,"",IF(R$76="","",IF(R$76=$B99,OFFSET($D$33,0,$B98)+OFFSET($D$30,0,$B98),OFFSET($D$33,0,$B98))))</f>
        <v/>
      </c>
    </row>
    <row r="100" spans="2:18" hidden="1" outlineLevel="1" x14ac:dyDescent="0.25">
      <c r="B100">
        <f t="shared" ref="B100:B113" si="57">B99+1</f>
        <v>2</v>
      </c>
      <c r="D100" s="62" t="str">
        <f t="shared" ca="1" si="42"/>
        <v/>
      </c>
      <c r="E100" s="62">
        <f t="shared" ca="1" si="43"/>
        <v>11804431.979736293</v>
      </c>
      <c r="F100" s="62">
        <f t="shared" ca="1" si="44"/>
        <v>537486.11538804858</v>
      </c>
      <c r="G100" s="62">
        <f t="shared" ca="1" si="45"/>
        <v>537486.11538804858</v>
      </c>
      <c r="H100" s="62">
        <f t="shared" ca="1" si="46"/>
        <v>537486.11538804858</v>
      </c>
      <c r="I100" s="62">
        <f t="shared" ca="1" si="47"/>
        <v>537486.11538804858</v>
      </c>
      <c r="J100" s="62">
        <f t="shared" ca="1" si="48"/>
        <v>537486.11538804858</v>
      </c>
      <c r="K100" s="62">
        <f t="shared" ca="1" si="49"/>
        <v>537486.11538804858</v>
      </c>
      <c r="L100" s="62">
        <f t="shared" ca="1" si="50"/>
        <v>537486.11538804858</v>
      </c>
      <c r="M100" s="62">
        <f t="shared" ca="1" si="51"/>
        <v>537486.11538804858</v>
      </c>
      <c r="N100" s="62" t="str">
        <f t="shared" ca="1" si="52"/>
        <v/>
      </c>
      <c r="O100" s="62" t="str">
        <f t="shared" ca="1" si="53"/>
        <v/>
      </c>
      <c r="P100" s="62" t="str">
        <f t="shared" ca="1" si="54"/>
        <v/>
      </c>
      <c r="Q100" s="62" t="str">
        <f t="shared" ca="1" si="55"/>
        <v/>
      </c>
      <c r="R100" s="62" t="str">
        <f t="shared" ca="1" si="56"/>
        <v/>
      </c>
    </row>
    <row r="101" spans="2:18" hidden="1" outlineLevel="1" x14ac:dyDescent="0.25">
      <c r="B101">
        <f t="shared" si="57"/>
        <v>3</v>
      </c>
      <c r="D101" s="62" t="str">
        <f t="shared" ca="1" si="42"/>
        <v/>
      </c>
      <c r="E101" s="62" t="str">
        <f t="shared" ca="1" si="43"/>
        <v/>
      </c>
      <c r="F101" s="62">
        <f t="shared" ca="1" si="44"/>
        <v>12334564.616461929</v>
      </c>
      <c r="G101" s="62">
        <f t="shared" ca="1" si="45"/>
        <v>564603.77163804835</v>
      </c>
      <c r="H101" s="62">
        <f t="shared" ca="1" si="46"/>
        <v>564603.77163804835</v>
      </c>
      <c r="I101" s="62">
        <f t="shared" ca="1" si="47"/>
        <v>564603.77163804835</v>
      </c>
      <c r="J101" s="62">
        <f t="shared" ca="1" si="48"/>
        <v>564603.77163804835</v>
      </c>
      <c r="K101" s="62">
        <f t="shared" ca="1" si="49"/>
        <v>564603.77163804835</v>
      </c>
      <c r="L101" s="62">
        <f t="shared" ca="1" si="50"/>
        <v>564603.77163804835</v>
      </c>
      <c r="M101" s="62">
        <f t="shared" ca="1" si="51"/>
        <v>564603.77163804835</v>
      </c>
      <c r="N101" s="62" t="str">
        <f t="shared" ca="1" si="52"/>
        <v/>
      </c>
      <c r="O101" s="62" t="str">
        <f t="shared" ca="1" si="53"/>
        <v/>
      </c>
      <c r="P101" s="62" t="str">
        <f t="shared" ca="1" si="54"/>
        <v/>
      </c>
      <c r="Q101" s="62" t="str">
        <f t="shared" ca="1" si="55"/>
        <v/>
      </c>
      <c r="R101" s="62" t="str">
        <f t="shared" ca="1" si="56"/>
        <v/>
      </c>
    </row>
    <row r="102" spans="2:18" hidden="1" outlineLevel="1" x14ac:dyDescent="0.25">
      <c r="B102">
        <f t="shared" si="57"/>
        <v>4</v>
      </c>
      <c r="D102" s="62" t="str">
        <f t="shared" ca="1" si="42"/>
        <v/>
      </c>
      <c r="E102" s="62" t="str">
        <f t="shared" ca="1" si="43"/>
        <v/>
      </c>
      <c r="F102" s="62" t="str">
        <f t="shared" ca="1" si="44"/>
        <v/>
      </c>
      <c r="G102" s="62">
        <f t="shared" ca="1" si="45"/>
        <v>12879790.019052593</v>
      </c>
      <c r="H102" s="62">
        <f t="shared" ca="1" si="46"/>
        <v>592399.36929429811</v>
      </c>
      <c r="I102" s="62">
        <f t="shared" ca="1" si="47"/>
        <v>592399.36929429811</v>
      </c>
      <c r="J102" s="62">
        <f t="shared" ca="1" si="48"/>
        <v>592399.36929429811</v>
      </c>
      <c r="K102" s="62">
        <f t="shared" ca="1" si="49"/>
        <v>592399.36929429811</v>
      </c>
      <c r="L102" s="62">
        <f t="shared" ca="1" si="50"/>
        <v>592399.36929429811</v>
      </c>
      <c r="M102" s="62">
        <f t="shared" ca="1" si="51"/>
        <v>592399.36929429811</v>
      </c>
      <c r="N102" s="62" t="str">
        <f t="shared" ca="1" si="52"/>
        <v/>
      </c>
      <c r="O102" s="62" t="str">
        <f t="shared" ca="1" si="53"/>
        <v/>
      </c>
      <c r="P102" s="62" t="str">
        <f t="shared" ca="1" si="54"/>
        <v/>
      </c>
      <c r="Q102" s="62" t="str">
        <f t="shared" ca="1" si="55"/>
        <v/>
      </c>
      <c r="R102" s="62" t="str">
        <f t="shared" ca="1" si="56"/>
        <v/>
      </c>
    </row>
    <row r="103" spans="2:18" hidden="1" outlineLevel="1" x14ac:dyDescent="0.25">
      <c r="B103">
        <f t="shared" si="57"/>
        <v>5</v>
      </c>
      <c r="D103" s="62" t="str">
        <f t="shared" ca="1" si="42"/>
        <v/>
      </c>
      <c r="E103" s="62" t="str">
        <f t="shared" ca="1" si="43"/>
        <v/>
      </c>
      <c r="F103" s="62" t="str">
        <f t="shared" ca="1" si="44"/>
        <v/>
      </c>
      <c r="G103" s="62" t="str">
        <f t="shared" ca="1" si="45"/>
        <v/>
      </c>
      <c r="H103" s="62">
        <f t="shared" ca="1" si="46"/>
        <v>13440606.044290194</v>
      </c>
      <c r="I103" s="62">
        <f t="shared" ca="1" si="47"/>
        <v>620889.85689195432</v>
      </c>
      <c r="J103" s="62">
        <f t="shared" ca="1" si="48"/>
        <v>620889.85689195432</v>
      </c>
      <c r="K103" s="62">
        <f t="shared" ca="1" si="49"/>
        <v>620889.85689195432</v>
      </c>
      <c r="L103" s="62">
        <f t="shared" ca="1" si="50"/>
        <v>620889.85689195432</v>
      </c>
      <c r="M103" s="62">
        <f t="shared" ca="1" si="51"/>
        <v>620889.85689195432</v>
      </c>
      <c r="N103" s="62" t="str">
        <f t="shared" ca="1" si="52"/>
        <v/>
      </c>
      <c r="O103" s="62" t="str">
        <f t="shared" ca="1" si="53"/>
        <v/>
      </c>
      <c r="P103" s="62" t="str">
        <f t="shared" ca="1" si="54"/>
        <v/>
      </c>
      <c r="Q103" s="62" t="str">
        <f t="shared" ca="1" si="55"/>
        <v/>
      </c>
      <c r="R103" s="62" t="str">
        <f t="shared" ca="1" si="56"/>
        <v/>
      </c>
    </row>
    <row r="104" spans="2:18" hidden="1" outlineLevel="1" x14ac:dyDescent="0.25">
      <c r="B104">
        <f t="shared" si="57"/>
        <v>6</v>
      </c>
      <c r="D104" s="62" t="str">
        <f t="shared" ca="1" si="42"/>
        <v/>
      </c>
      <c r="E104" s="62" t="str">
        <f t="shared" ca="1" si="43"/>
        <v/>
      </c>
      <c r="F104" s="62" t="str">
        <f t="shared" ca="1" si="44"/>
        <v/>
      </c>
      <c r="G104" s="62" t="str">
        <f t="shared" ca="1" si="45"/>
        <v/>
      </c>
      <c r="H104" s="62" t="str">
        <f t="shared" ca="1" si="46"/>
        <v/>
      </c>
      <c r="I104" s="62">
        <f t="shared" ca="1" si="47"/>
        <v>14017529.625540052</v>
      </c>
      <c r="J104" s="62">
        <f t="shared" ca="1" si="48"/>
        <v>650092.60667955177</v>
      </c>
      <c r="K104" s="62">
        <f t="shared" ca="1" si="49"/>
        <v>650092.60667955177</v>
      </c>
      <c r="L104" s="62">
        <f t="shared" ca="1" si="50"/>
        <v>650092.60667955177</v>
      </c>
      <c r="M104" s="62">
        <f t="shared" ca="1" si="51"/>
        <v>650092.60667955177</v>
      </c>
      <c r="N104" s="62" t="str">
        <f t="shared" ca="1" si="52"/>
        <v/>
      </c>
      <c r="O104" s="62" t="str">
        <f t="shared" ca="1" si="53"/>
        <v/>
      </c>
      <c r="P104" s="62" t="str">
        <f t="shared" ca="1" si="54"/>
        <v/>
      </c>
      <c r="Q104" s="62" t="str">
        <f t="shared" ca="1" si="55"/>
        <v/>
      </c>
      <c r="R104" s="62" t="str">
        <f t="shared" ca="1" si="56"/>
        <v/>
      </c>
    </row>
    <row r="105" spans="2:18" hidden="1" outlineLevel="1" x14ac:dyDescent="0.25">
      <c r="B105">
        <f t="shared" si="57"/>
        <v>7</v>
      </c>
      <c r="D105" s="62" t="str">
        <f t="shared" ca="1" si="42"/>
        <v/>
      </c>
      <c r="E105" s="62" t="str">
        <f t="shared" ca="1" si="43"/>
        <v/>
      </c>
      <c r="F105" s="62" t="str">
        <f t="shared" ca="1" si="44"/>
        <v/>
      </c>
      <c r="G105" s="62" t="str">
        <f t="shared" ca="1" si="45"/>
        <v/>
      </c>
      <c r="H105" s="62" t="str">
        <f t="shared" ca="1" si="46"/>
        <v/>
      </c>
      <c r="I105" s="62" t="str">
        <f t="shared" ca="1" si="47"/>
        <v/>
      </c>
      <c r="J105" s="62">
        <f t="shared" ca="1" si="48"/>
        <v>14611097.559070807</v>
      </c>
      <c r="K105" s="62">
        <f t="shared" ca="1" si="49"/>
        <v>680025.42521183938</v>
      </c>
      <c r="L105" s="62">
        <f t="shared" ca="1" si="50"/>
        <v>680025.42521183938</v>
      </c>
      <c r="M105" s="62">
        <f t="shared" ca="1" si="51"/>
        <v>680025.42521183938</v>
      </c>
      <c r="N105" s="62" t="str">
        <f t="shared" ca="1" si="52"/>
        <v/>
      </c>
      <c r="O105" s="62" t="str">
        <f t="shared" ca="1" si="53"/>
        <v/>
      </c>
      <c r="P105" s="62" t="str">
        <f t="shared" ca="1" si="54"/>
        <v/>
      </c>
      <c r="Q105" s="62" t="str">
        <f t="shared" ca="1" si="55"/>
        <v/>
      </c>
      <c r="R105" s="62" t="str">
        <f t="shared" ca="1" si="56"/>
        <v/>
      </c>
    </row>
    <row r="106" spans="2:18" hidden="1" outlineLevel="1" x14ac:dyDescent="0.25">
      <c r="B106">
        <f t="shared" si="57"/>
        <v>8</v>
      </c>
      <c r="D106" s="62" t="str">
        <f t="shared" ca="1" si="42"/>
        <v/>
      </c>
      <c r="E106" s="62" t="str">
        <f t="shared" ca="1" si="43"/>
        <v/>
      </c>
      <c r="F106" s="62" t="str">
        <f t="shared" ca="1" si="44"/>
        <v/>
      </c>
      <c r="G106" s="62" t="str">
        <f t="shared" ca="1" si="45"/>
        <v/>
      </c>
      <c r="H106" s="62" t="str">
        <f t="shared" ca="1" si="46"/>
        <v/>
      </c>
      <c r="I106" s="62" t="str">
        <f t="shared" ca="1" si="47"/>
        <v/>
      </c>
      <c r="J106" s="62" t="str">
        <f t="shared" ca="1" si="48"/>
        <v/>
      </c>
      <c r="K106" s="62">
        <f t="shared" ca="1" si="49"/>
        <v>15221867.324812887</v>
      </c>
      <c r="L106" s="62">
        <f t="shared" ca="1" si="50"/>
        <v>710706.56420743396</v>
      </c>
      <c r="M106" s="62">
        <f t="shared" ca="1" si="51"/>
        <v>710706.56420743396</v>
      </c>
      <c r="N106" s="62" t="str">
        <f t="shared" ca="1" si="52"/>
        <v/>
      </c>
      <c r="O106" s="62" t="str">
        <f t="shared" ca="1" si="53"/>
        <v/>
      </c>
      <c r="P106" s="62" t="str">
        <f t="shared" ca="1" si="54"/>
        <v/>
      </c>
      <c r="Q106" s="62" t="str">
        <f t="shared" ca="1" si="55"/>
        <v/>
      </c>
      <c r="R106" s="62" t="str">
        <f t="shared" ca="1" si="56"/>
        <v/>
      </c>
    </row>
    <row r="107" spans="2:18" hidden="1" outlineLevel="1" x14ac:dyDescent="0.25">
      <c r="B107">
        <f t="shared" si="57"/>
        <v>9</v>
      </c>
      <c r="D107" s="62" t="str">
        <f t="shared" ca="1" si="42"/>
        <v/>
      </c>
      <c r="E107" s="62" t="str">
        <f t="shared" ca="1" si="43"/>
        <v/>
      </c>
      <c r="F107" s="62" t="str">
        <f t="shared" ca="1" si="44"/>
        <v/>
      </c>
      <c r="G107" s="62" t="str">
        <f t="shared" ca="1" si="45"/>
        <v/>
      </c>
      <c r="H107" s="62" t="str">
        <f t="shared" ca="1" si="46"/>
        <v/>
      </c>
      <c r="I107" s="62" t="str">
        <f t="shared" ca="1" si="47"/>
        <v/>
      </c>
      <c r="J107" s="62" t="str">
        <f t="shared" ca="1" si="48"/>
        <v/>
      </c>
      <c r="K107" s="62" t="str">
        <f t="shared" ca="1" si="49"/>
        <v/>
      </c>
      <c r="L107" s="62">
        <f t="shared" ca="1" si="50"/>
        <v>15850417.943086097</v>
      </c>
      <c r="M107" s="62">
        <f t="shared" ca="1" si="51"/>
        <v>742154.73167791846</v>
      </c>
      <c r="N107" s="62" t="str">
        <f t="shared" ca="1" si="52"/>
        <v/>
      </c>
      <c r="O107" s="62" t="str">
        <f t="shared" ca="1" si="53"/>
        <v/>
      </c>
      <c r="P107" s="62" t="str">
        <f t="shared" ca="1" si="54"/>
        <v/>
      </c>
      <c r="Q107" s="62" t="str">
        <f t="shared" ca="1" si="55"/>
        <v/>
      </c>
      <c r="R107" s="62" t="str">
        <f t="shared" ca="1" si="56"/>
        <v/>
      </c>
    </row>
    <row r="108" spans="2:18" hidden="1" outlineLevel="1" x14ac:dyDescent="0.25">
      <c r="B108">
        <f t="shared" si="57"/>
        <v>10</v>
      </c>
      <c r="D108" s="62" t="str">
        <f t="shared" ca="1" si="42"/>
        <v/>
      </c>
      <c r="E108" s="62" t="str">
        <f t="shared" ca="1" si="43"/>
        <v/>
      </c>
      <c r="F108" s="62" t="str">
        <f t="shared" ca="1" si="44"/>
        <v/>
      </c>
      <c r="G108" s="62" t="str">
        <f t="shared" ca="1" si="45"/>
        <v/>
      </c>
      <c r="H108" s="62" t="str">
        <f t="shared" ca="1" si="46"/>
        <v/>
      </c>
      <c r="I108" s="62" t="str">
        <f t="shared" ca="1" si="47"/>
        <v/>
      </c>
      <c r="J108" s="62" t="str">
        <f t="shared" ca="1" si="48"/>
        <v/>
      </c>
      <c r="K108" s="62" t="str">
        <f t="shared" ca="1" si="49"/>
        <v/>
      </c>
      <c r="L108" s="62" t="str">
        <f t="shared" ca="1" si="50"/>
        <v/>
      </c>
      <c r="M108" s="62">
        <f t="shared" ca="1" si="51"/>
        <v>16497350.868896713</v>
      </c>
      <c r="N108" s="62" t="str">
        <f t="shared" ca="1" si="52"/>
        <v/>
      </c>
      <c r="O108" s="62" t="str">
        <f t="shared" ca="1" si="53"/>
        <v/>
      </c>
      <c r="P108" s="62" t="str">
        <f t="shared" ca="1" si="54"/>
        <v/>
      </c>
      <c r="Q108" s="62" t="str">
        <f t="shared" ca="1" si="55"/>
        <v/>
      </c>
      <c r="R108" s="62" t="str">
        <f t="shared" ca="1" si="56"/>
        <v/>
      </c>
    </row>
    <row r="109" spans="2:18" hidden="1" outlineLevel="1" x14ac:dyDescent="0.25">
      <c r="B109">
        <f t="shared" si="57"/>
        <v>11</v>
      </c>
      <c r="D109" s="62" t="str">
        <f t="shared" ca="1" si="42"/>
        <v/>
      </c>
      <c r="E109" s="62" t="str">
        <f t="shared" ca="1" si="43"/>
        <v/>
      </c>
      <c r="F109" s="62" t="str">
        <f t="shared" ca="1" si="44"/>
        <v/>
      </c>
      <c r="G109" s="62" t="str">
        <f t="shared" ca="1" si="45"/>
        <v/>
      </c>
      <c r="H109" s="62" t="str">
        <f t="shared" ca="1" si="46"/>
        <v/>
      </c>
      <c r="I109" s="62" t="str">
        <f t="shared" ca="1" si="47"/>
        <v/>
      </c>
      <c r="J109" s="62" t="str">
        <f t="shared" ca="1" si="48"/>
        <v/>
      </c>
      <c r="K109" s="62" t="str">
        <f t="shared" ca="1" si="49"/>
        <v/>
      </c>
      <c r="L109" s="62" t="str">
        <f t="shared" ca="1" si="50"/>
        <v/>
      </c>
      <c r="M109" s="62" t="str">
        <f t="shared" ca="1" si="51"/>
        <v/>
      </c>
      <c r="N109" s="62" t="str">
        <f t="shared" ca="1" si="52"/>
        <v/>
      </c>
      <c r="O109" s="62" t="str">
        <f t="shared" ca="1" si="53"/>
        <v/>
      </c>
      <c r="P109" s="62" t="str">
        <f t="shared" ca="1" si="54"/>
        <v/>
      </c>
      <c r="Q109" s="62" t="str">
        <f t="shared" ca="1" si="55"/>
        <v/>
      </c>
      <c r="R109" s="62" t="str">
        <f t="shared" ca="1" si="56"/>
        <v/>
      </c>
    </row>
    <row r="110" spans="2:18" hidden="1" outlineLevel="1" x14ac:dyDescent="0.25">
      <c r="B110">
        <f t="shared" si="57"/>
        <v>12</v>
      </c>
      <c r="D110" s="62" t="str">
        <f t="shared" ca="1" si="42"/>
        <v/>
      </c>
      <c r="E110" s="62" t="str">
        <f t="shared" ca="1" si="43"/>
        <v/>
      </c>
      <c r="F110" s="62" t="str">
        <f t="shared" ca="1" si="44"/>
        <v/>
      </c>
      <c r="G110" s="62" t="str">
        <f t="shared" ca="1" si="45"/>
        <v/>
      </c>
      <c r="H110" s="62" t="str">
        <f t="shared" ca="1" si="46"/>
        <v/>
      </c>
      <c r="I110" s="62" t="str">
        <f t="shared" ca="1" si="47"/>
        <v/>
      </c>
      <c r="J110" s="62" t="str">
        <f t="shared" ca="1" si="48"/>
        <v/>
      </c>
      <c r="K110" s="62" t="str">
        <f t="shared" ca="1" si="49"/>
        <v/>
      </c>
      <c r="L110" s="62" t="str">
        <f t="shared" ca="1" si="50"/>
        <v/>
      </c>
      <c r="M110" s="62" t="str">
        <f t="shared" ca="1" si="51"/>
        <v/>
      </c>
      <c r="N110" s="62" t="str">
        <f t="shared" ca="1" si="52"/>
        <v/>
      </c>
      <c r="O110" s="62" t="str">
        <f t="shared" ca="1" si="53"/>
        <v/>
      </c>
      <c r="P110" s="62" t="str">
        <f t="shared" ca="1" si="54"/>
        <v/>
      </c>
      <c r="Q110" s="62" t="str">
        <f t="shared" ca="1" si="55"/>
        <v/>
      </c>
      <c r="R110" s="62" t="str">
        <f t="shared" ca="1" si="56"/>
        <v/>
      </c>
    </row>
    <row r="111" spans="2:18" hidden="1" outlineLevel="1" x14ac:dyDescent="0.25">
      <c r="B111">
        <f t="shared" si="57"/>
        <v>13</v>
      </c>
      <c r="D111" s="62" t="str">
        <f t="shared" ca="1" si="42"/>
        <v/>
      </c>
      <c r="E111" s="62" t="str">
        <f t="shared" ca="1" si="43"/>
        <v/>
      </c>
      <c r="F111" s="62" t="str">
        <f t="shared" ca="1" si="44"/>
        <v/>
      </c>
      <c r="G111" s="62" t="str">
        <f t="shared" ca="1" si="45"/>
        <v/>
      </c>
      <c r="H111" s="62" t="str">
        <f t="shared" ca="1" si="46"/>
        <v/>
      </c>
      <c r="I111" s="62" t="str">
        <f t="shared" ca="1" si="47"/>
        <v/>
      </c>
      <c r="J111" s="62" t="str">
        <f t="shared" ca="1" si="48"/>
        <v/>
      </c>
      <c r="K111" s="62" t="str">
        <f t="shared" ca="1" si="49"/>
        <v/>
      </c>
      <c r="L111" s="62" t="str">
        <f t="shared" ca="1" si="50"/>
        <v/>
      </c>
      <c r="M111" s="62" t="str">
        <f t="shared" ca="1" si="51"/>
        <v/>
      </c>
      <c r="N111" s="62" t="str">
        <f t="shared" ca="1" si="52"/>
        <v/>
      </c>
      <c r="O111" s="62" t="str">
        <f t="shared" ca="1" si="53"/>
        <v/>
      </c>
      <c r="P111" s="62" t="str">
        <f t="shared" ca="1" si="54"/>
        <v/>
      </c>
      <c r="Q111" s="62" t="str">
        <f t="shared" ca="1" si="55"/>
        <v/>
      </c>
      <c r="R111" s="62" t="str">
        <f t="shared" ca="1" si="56"/>
        <v/>
      </c>
    </row>
    <row r="112" spans="2:18" hidden="1" outlineLevel="1" x14ac:dyDescent="0.25">
      <c r="B112">
        <f t="shared" si="57"/>
        <v>14</v>
      </c>
      <c r="D112" s="62" t="str">
        <f t="shared" ca="1" si="42"/>
        <v/>
      </c>
      <c r="E112" s="62" t="str">
        <f t="shared" ca="1" si="43"/>
        <v/>
      </c>
      <c r="F112" s="62" t="str">
        <f t="shared" ca="1" si="44"/>
        <v/>
      </c>
      <c r="G112" s="62" t="str">
        <f t="shared" ca="1" si="45"/>
        <v/>
      </c>
      <c r="H112" s="62" t="str">
        <f t="shared" ca="1" si="46"/>
        <v/>
      </c>
      <c r="I112" s="62" t="str">
        <f t="shared" ca="1" si="47"/>
        <v/>
      </c>
      <c r="J112" s="62" t="str">
        <f t="shared" ca="1" si="48"/>
        <v/>
      </c>
      <c r="K112" s="62" t="str">
        <f t="shared" ca="1" si="49"/>
        <v/>
      </c>
      <c r="L112" s="62" t="str">
        <f t="shared" ca="1" si="50"/>
        <v/>
      </c>
      <c r="M112" s="62" t="str">
        <f t="shared" ca="1" si="51"/>
        <v/>
      </c>
      <c r="N112" s="62" t="str">
        <f t="shared" ca="1" si="52"/>
        <v/>
      </c>
      <c r="O112" s="62" t="str">
        <f t="shared" ca="1" si="53"/>
        <v/>
      </c>
      <c r="P112" s="62" t="str">
        <f t="shared" ca="1" si="54"/>
        <v/>
      </c>
      <c r="Q112" s="62" t="str">
        <f t="shared" ca="1" si="55"/>
        <v/>
      </c>
      <c r="R112" s="62" t="str">
        <f t="shared" ca="1" si="56"/>
        <v/>
      </c>
    </row>
    <row r="113" spans="2:18" hidden="1" outlineLevel="1" x14ac:dyDescent="0.25">
      <c r="B113">
        <f t="shared" si="57"/>
        <v>15</v>
      </c>
      <c r="D113" s="62" t="str">
        <f t="shared" ca="1" si="42"/>
        <v/>
      </c>
      <c r="E113" s="62" t="str">
        <f t="shared" ca="1" si="43"/>
        <v/>
      </c>
      <c r="F113" s="62" t="str">
        <f t="shared" ca="1" si="44"/>
        <v/>
      </c>
      <c r="G113" s="62" t="str">
        <f t="shared" ca="1" si="45"/>
        <v/>
      </c>
      <c r="H113" s="62" t="str">
        <f t="shared" ca="1" si="46"/>
        <v/>
      </c>
      <c r="I113" s="62" t="str">
        <f t="shared" ca="1" si="47"/>
        <v/>
      </c>
      <c r="J113" s="62" t="str">
        <f t="shared" ca="1" si="48"/>
        <v/>
      </c>
      <c r="K113" s="62" t="str">
        <f t="shared" ca="1" si="49"/>
        <v/>
      </c>
      <c r="L113" s="62" t="str">
        <f t="shared" ca="1" si="50"/>
        <v/>
      </c>
      <c r="M113" s="62" t="str">
        <f t="shared" ca="1" si="51"/>
        <v/>
      </c>
      <c r="N113" s="62" t="str">
        <f t="shared" ca="1" si="52"/>
        <v/>
      </c>
      <c r="O113" s="62" t="str">
        <f t="shared" ca="1" si="53"/>
        <v/>
      </c>
      <c r="P113" s="62" t="str">
        <f t="shared" ca="1" si="54"/>
        <v/>
      </c>
      <c r="Q113" s="62" t="str">
        <f t="shared" ca="1" si="55"/>
        <v/>
      </c>
      <c r="R113" s="62" t="str">
        <f t="shared" ca="1" si="56"/>
        <v/>
      </c>
    </row>
    <row r="114" spans="2:18" collapsed="1" x14ac:dyDescent="0.25"/>
  </sheetData>
  <mergeCells count="2">
    <mergeCell ref="E2:F2"/>
    <mergeCell ref="B40:D40"/>
  </mergeCells>
  <conditionalFormatting sqref="B4:R4">
    <cfRule type="expression" dxfId="18" priority="19">
      <formula>B4&lt;&gt;""</formula>
    </cfRule>
  </conditionalFormatting>
  <conditionalFormatting sqref="B28:R29 B32:R38 B4:R26 C30:R31">
    <cfRule type="expression" dxfId="17" priority="12">
      <formula>B$4&lt;&gt;""</formula>
    </cfRule>
    <cfRule type="expression" dxfId="16" priority="17">
      <formula>B$4=""</formula>
    </cfRule>
  </conditionalFormatting>
  <conditionalFormatting sqref="D78">
    <cfRule type="expression" dxfId="15" priority="16">
      <formula>D$4=""</formula>
    </cfRule>
  </conditionalFormatting>
  <conditionalFormatting sqref="D98">
    <cfRule type="expression" dxfId="14" priority="14">
      <formula>D$4=""</formula>
    </cfRule>
  </conditionalFormatting>
  <conditionalFormatting sqref="B2">
    <cfRule type="expression" dxfId="13" priority="11">
      <formula>B$4&lt;&gt;""</formula>
    </cfRule>
  </conditionalFormatting>
  <conditionalFormatting sqref="B30:B31">
    <cfRule type="expression" dxfId="12" priority="9">
      <formula>B$4&lt;&gt;""</formula>
    </cfRule>
    <cfRule type="expression" dxfId="11" priority="10">
      <formula>B$4=""</formula>
    </cfRule>
  </conditionalFormatting>
  <conditionalFormatting sqref="E78:R78">
    <cfRule type="expression" dxfId="10" priority="8">
      <formula>E$4=""</formula>
    </cfRule>
  </conditionalFormatting>
  <conditionalFormatting sqref="B27:R27">
    <cfRule type="expression" dxfId="9" priority="3">
      <formula>B$4&lt;&gt;""</formula>
    </cfRule>
    <cfRule type="expression" dxfId="8" priority="4">
      <formula>B$4=""</formula>
    </cfRule>
  </conditionalFormatting>
  <conditionalFormatting sqref="E98:R98">
    <cfRule type="expression" dxfId="7" priority="2">
      <formula>E$4=""</formula>
    </cfRule>
  </conditionalFormatting>
  <conditionalFormatting sqref="C42:J72">
    <cfRule type="expression" dxfId="6" priority="1">
      <formula>$B42=""</formula>
    </cfRule>
  </conditionalFormatting>
  <dataValidations count="1">
    <dataValidation type="list" allowBlank="1" showInputMessage="1" showErrorMessage="1" sqref="E2:F2">
      <formula1>Property_List</formula1>
    </dataValidation>
  </dataValidations>
  <pageMargins left="0.7" right="0.7" top="0.75" bottom="0.75" header="0.3" footer="0.3"/>
  <pageSetup scale="34" orientation="portrait" horizontalDpi="4294967294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2:T98"/>
  <sheetViews>
    <sheetView showGridLines="0" zoomScale="85" zoomScaleNormal="85" zoomScaleSheetLayoutView="55" workbookViewId="0"/>
  </sheetViews>
  <sheetFormatPr defaultRowHeight="15" outlineLevelRow="1" x14ac:dyDescent="0.25"/>
  <cols>
    <col min="1" max="1" width="2.85546875" style="11" customWidth="1"/>
    <col min="2" max="2" width="3.140625" style="11" bestFit="1" customWidth="1"/>
    <col min="3" max="3" width="23.85546875" style="11" customWidth="1"/>
    <col min="4" max="18" width="11.85546875" style="11" bestFit="1" customWidth="1"/>
    <col min="19" max="16384" width="9.140625" style="11"/>
  </cols>
  <sheetData>
    <row r="2" spans="1:20" ht="15.75" x14ac:dyDescent="0.25">
      <c r="B2" s="10" t="s">
        <v>53</v>
      </c>
    </row>
    <row r="3" spans="1:20" s="12" customFormat="1" x14ac:dyDescent="0.25">
      <c r="D3" s="13">
        <v>1</v>
      </c>
      <c r="E3" s="13">
        <f t="shared" ref="E3:T3" si="0">IF(OR(D3="",D3=Analysis_Period),"",D3+1)</f>
        <v>2</v>
      </c>
      <c r="F3" s="13">
        <f t="shared" si="0"/>
        <v>3</v>
      </c>
      <c r="G3" s="13">
        <f t="shared" si="0"/>
        <v>4</v>
      </c>
      <c r="H3" s="13">
        <f t="shared" si="0"/>
        <v>5</v>
      </c>
      <c r="I3" s="13">
        <f t="shared" si="0"/>
        <v>6</v>
      </c>
      <c r="J3" s="13">
        <f t="shared" si="0"/>
        <v>7</v>
      </c>
      <c r="K3" s="13">
        <f t="shared" si="0"/>
        <v>8</v>
      </c>
      <c r="L3" s="13">
        <f t="shared" si="0"/>
        <v>9</v>
      </c>
      <c r="M3" s="13">
        <f t="shared" si="0"/>
        <v>10</v>
      </c>
      <c r="N3" s="13" t="str">
        <f t="shared" si="0"/>
        <v/>
      </c>
      <c r="O3" s="13" t="str">
        <f t="shared" si="0"/>
        <v/>
      </c>
      <c r="P3" s="13" t="str">
        <f t="shared" si="0"/>
        <v/>
      </c>
      <c r="Q3" s="13" t="str">
        <f t="shared" si="0"/>
        <v/>
      </c>
      <c r="R3" s="13" t="str">
        <f t="shared" si="0"/>
        <v/>
      </c>
      <c r="S3" s="13" t="str">
        <f t="shared" si="0"/>
        <v/>
      </c>
      <c r="T3" s="13" t="str">
        <f t="shared" si="0"/>
        <v/>
      </c>
    </row>
    <row r="4" spans="1:20" s="12" customFormat="1" x14ac:dyDescent="0.25">
      <c r="B4" s="12" t="s">
        <v>1</v>
      </c>
      <c r="C4" s="14" t="s">
        <v>19</v>
      </c>
      <c r="D4" s="15">
        <f>EOMONTH(Analysis_Start,11)</f>
        <v>42735</v>
      </c>
      <c r="E4" s="15">
        <f t="shared" ref="E4:R4" si="1">IF(E3="","",EOMONTH(Analysis_Start,(11*E3)+D3))</f>
        <v>43100</v>
      </c>
      <c r="F4" s="15">
        <f t="shared" si="1"/>
        <v>43465</v>
      </c>
      <c r="G4" s="15">
        <f t="shared" si="1"/>
        <v>43830</v>
      </c>
      <c r="H4" s="15">
        <f t="shared" si="1"/>
        <v>44196</v>
      </c>
      <c r="I4" s="15">
        <f t="shared" si="1"/>
        <v>44561</v>
      </c>
      <c r="J4" s="15">
        <f t="shared" si="1"/>
        <v>44926</v>
      </c>
      <c r="K4" s="15">
        <f t="shared" si="1"/>
        <v>45291</v>
      </c>
      <c r="L4" s="15">
        <f t="shared" si="1"/>
        <v>45657</v>
      </c>
      <c r="M4" s="15">
        <f t="shared" si="1"/>
        <v>46022</v>
      </c>
      <c r="N4" s="15" t="str">
        <f t="shared" si="1"/>
        <v/>
      </c>
      <c r="O4" s="15" t="str">
        <f t="shared" si="1"/>
        <v/>
      </c>
      <c r="P4" s="15" t="str">
        <f t="shared" si="1"/>
        <v/>
      </c>
      <c r="Q4" s="15" t="str">
        <f t="shared" si="1"/>
        <v/>
      </c>
      <c r="R4" s="15" t="str">
        <f t="shared" si="1"/>
        <v/>
      </c>
    </row>
    <row r="5" spans="1:20" collapsed="1" x14ac:dyDescent="0.25">
      <c r="B5" s="20" t="s">
        <v>24</v>
      </c>
      <c r="C5" s="21" t="s">
        <v>25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19"/>
      <c r="P5" s="19"/>
      <c r="Q5" s="19"/>
      <c r="R5" s="19"/>
    </row>
    <row r="6" spans="1:20" x14ac:dyDescent="0.25">
      <c r="C6" s="18" t="s">
        <v>44</v>
      </c>
      <c r="D6" s="34">
        <f>IF(OR(D$3&gt;Analysis_Period,D$3=""),"",SUMIF($C$10:$C$129,$C6,D10:D129))</f>
        <v>2302220.1346119512</v>
      </c>
      <c r="E6" s="34">
        <f t="shared" ref="E6:R6" si="2">IF(OR(E$3&gt;Analysis_Period,E$3=""),"",SUMIF($C$10:$C$129,$C6,E10:E129))</f>
        <v>2302220.1346119512</v>
      </c>
      <c r="F6" s="34">
        <f t="shared" si="2"/>
        <v>2302220.1346119512</v>
      </c>
      <c r="G6" s="34">
        <f t="shared" si="2"/>
        <v>3045032.017119823</v>
      </c>
      <c r="H6" s="34">
        <f t="shared" si="2"/>
        <v>3045032.017119823</v>
      </c>
      <c r="I6" s="34">
        <f t="shared" si="2"/>
        <v>3045032.017119823</v>
      </c>
      <c r="J6" s="34">
        <f t="shared" si="2"/>
        <v>3045032.017119823</v>
      </c>
      <c r="K6" s="34">
        <f t="shared" si="2"/>
        <v>3045032.017119823</v>
      </c>
      <c r="L6" s="34">
        <f t="shared" si="2"/>
        <v>3045032.017119823</v>
      </c>
      <c r="M6" s="34">
        <f t="shared" si="2"/>
        <v>3045032.017119823</v>
      </c>
      <c r="N6" s="34" t="str">
        <f t="shared" si="2"/>
        <v/>
      </c>
      <c r="O6" s="34" t="str">
        <f t="shared" si="2"/>
        <v/>
      </c>
      <c r="P6" s="34" t="str">
        <f t="shared" si="2"/>
        <v/>
      </c>
      <c r="Q6" s="34" t="str">
        <f t="shared" si="2"/>
        <v/>
      </c>
      <c r="R6" s="34" t="str">
        <f t="shared" si="2"/>
        <v/>
      </c>
    </row>
    <row r="7" spans="1:20" x14ac:dyDescent="0.25">
      <c r="C7" s="18" t="s">
        <v>52</v>
      </c>
      <c r="D7" s="34">
        <f t="shared" ref="D7:R7" si="3">IF(OR(D$3&gt;Analysis_Period,D$3=""),"",SUMIF($C$10:$C$129,$C$7,D10:D129))</f>
        <v>47854809.597748309</v>
      </c>
      <c r="E7" s="34">
        <f t="shared" si="3"/>
        <v>47702949.173819691</v>
      </c>
      <c r="F7" s="34">
        <f t="shared" si="3"/>
        <v>47544112.308585197</v>
      </c>
      <c r="G7" s="34">
        <f t="shared" si="3"/>
        <v>46619652.996207356</v>
      </c>
      <c r="H7" s="34">
        <f t="shared" si="3"/>
        <v>45652724.184762165</v>
      </c>
      <c r="I7" s="34">
        <f t="shared" si="3"/>
        <v>44641374.832892463</v>
      </c>
      <c r="J7" s="34">
        <f t="shared" si="3"/>
        <v>43583564.268742964</v>
      </c>
      <c r="K7" s="34">
        <f t="shared" si="3"/>
        <v>42477158.072350346</v>
      </c>
      <c r="L7" s="34">
        <f t="shared" si="3"/>
        <v>41319923.768871628</v>
      </c>
      <c r="M7" s="34">
        <f t="shared" si="3"/>
        <v>40109526.323960125</v>
      </c>
      <c r="N7" s="34" t="str">
        <f t="shared" si="3"/>
        <v/>
      </c>
      <c r="O7" s="34" t="str">
        <f t="shared" si="3"/>
        <v/>
      </c>
      <c r="P7" s="34" t="str">
        <f t="shared" si="3"/>
        <v/>
      </c>
      <c r="Q7" s="34" t="str">
        <f t="shared" si="3"/>
        <v/>
      </c>
      <c r="R7" s="34" t="str">
        <f t="shared" si="3"/>
        <v/>
      </c>
    </row>
    <row r="8" spans="1:20" x14ac:dyDescent="0.25">
      <c r="C8" s="19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20" s="56" customFormat="1" outlineLevel="1" x14ac:dyDescent="0.25">
      <c r="A9" s="11"/>
      <c r="B9" s="11">
        <v>1</v>
      </c>
      <c r="C9" s="16" t="str">
        <f>'Property Assumptions'!C5</f>
        <v>Property Name #1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20" outlineLevel="1" x14ac:dyDescent="0.25">
      <c r="B10" s="56" t="str">
        <f>C9&amp;C10</f>
        <v>Property Name #1Debt Service</v>
      </c>
      <c r="C10" s="18" t="str">
        <f>IF(C9="","","Debt Service")</f>
        <v>Debt Service</v>
      </c>
      <c r="D10" s="51">
        <f t="shared" ref="D10:R10" si="4">IF($C9="","",IF(VLOOKUP($C9,P_List_Table_2,14,FALSE)&lt;D$3,VLOOKUP($C9,P_List_Table_2,11,FALSE),VLOOKUP($C9,P_List_Table_2,12,FALSE)))</f>
        <v>547220.13461195119</v>
      </c>
      <c r="E10" s="51">
        <f t="shared" si="4"/>
        <v>547220.13461195119</v>
      </c>
      <c r="F10" s="51">
        <f t="shared" si="4"/>
        <v>547220.13461195119</v>
      </c>
      <c r="G10" s="51">
        <f t="shared" si="4"/>
        <v>547220.13461195119</v>
      </c>
      <c r="H10" s="51">
        <f t="shared" si="4"/>
        <v>547220.13461195119</v>
      </c>
      <c r="I10" s="51">
        <f t="shared" si="4"/>
        <v>547220.13461195119</v>
      </c>
      <c r="J10" s="51">
        <f t="shared" si="4"/>
        <v>547220.13461195119</v>
      </c>
      <c r="K10" s="51">
        <f t="shared" si="4"/>
        <v>547220.13461195119</v>
      </c>
      <c r="L10" s="51">
        <f t="shared" si="4"/>
        <v>547220.13461195119</v>
      </c>
      <c r="M10" s="51">
        <f t="shared" si="4"/>
        <v>547220.13461195119</v>
      </c>
      <c r="N10" s="51">
        <f t="shared" si="4"/>
        <v>547220.13461195119</v>
      </c>
      <c r="O10" s="51">
        <f t="shared" si="4"/>
        <v>547220.13461195119</v>
      </c>
      <c r="P10" s="51">
        <f t="shared" si="4"/>
        <v>547220.13461195119</v>
      </c>
      <c r="Q10" s="51">
        <f t="shared" si="4"/>
        <v>547220.13461195119</v>
      </c>
      <c r="R10" s="51">
        <f t="shared" si="4"/>
        <v>547220.13461195119</v>
      </c>
    </row>
    <row r="11" spans="1:20" outlineLevel="1" x14ac:dyDescent="0.25">
      <c r="B11" s="56" t="str">
        <f>C9&amp;C11</f>
        <v>Property Name #1Loan Balance</v>
      </c>
      <c r="C11" s="18" t="str">
        <f>IF(C9="","","Loan Balance")</f>
        <v>Loan Balance</v>
      </c>
      <c r="D11" s="51">
        <f t="shared" ref="D11:R11" si="5">IF($C9="","",IF(D$3&lt;=VLOOKUP($C9,P_List_Table_2,14,FALSE),VLOOKUP($C9,P_List_Table_2,13,FALSE),-PV(VLOOKUP($C9,P_List_Table_2,10,FALSE)/12,(VLOOKUP($C9,P_List_Table_2,15,FALSE)-VLOOKUP($C9,P_List_Table_2,14,FALSE)-D$3+VLOOKUP($C9,P_List_Table_2,14,FALSE))*12,D10/12)))</f>
        <v>8854809.5977483075</v>
      </c>
      <c r="E11" s="51">
        <f t="shared" si="5"/>
        <v>8702949.1738196872</v>
      </c>
      <c r="F11" s="51">
        <f t="shared" si="5"/>
        <v>8544112.3085851986</v>
      </c>
      <c r="G11" s="51">
        <f t="shared" si="5"/>
        <v>8377978.5055518402</v>
      </c>
      <c r="H11" s="51">
        <f t="shared" si="5"/>
        <v>8204212.5446738042</v>
      </c>
      <c r="I11" s="51">
        <f t="shared" si="5"/>
        <v>8022463.8059550188</v>
      </c>
      <c r="J11" s="51">
        <f t="shared" si="5"/>
        <v>7832365.5619781455</v>
      </c>
      <c r="K11" s="51">
        <f t="shared" si="5"/>
        <v>7633534.2379324529</v>
      </c>
      <c r="L11" s="51">
        <f t="shared" si="5"/>
        <v>7425568.6376475086</v>
      </c>
      <c r="M11" s="51">
        <f t="shared" si="5"/>
        <v>7208049.1340710167</v>
      </c>
      <c r="N11" s="51" t="e">
        <f t="shared" si="5"/>
        <v>#VALUE!</v>
      </c>
      <c r="O11" s="51" t="e">
        <f t="shared" si="5"/>
        <v>#VALUE!</v>
      </c>
      <c r="P11" s="51" t="e">
        <f t="shared" si="5"/>
        <v>#VALUE!</v>
      </c>
      <c r="Q11" s="51" t="e">
        <f t="shared" si="5"/>
        <v>#VALUE!</v>
      </c>
      <c r="R11" s="51" t="e">
        <f t="shared" si="5"/>
        <v>#VALUE!</v>
      </c>
    </row>
    <row r="12" spans="1:20" s="56" customFormat="1" outlineLevel="1" x14ac:dyDescent="0.25">
      <c r="A12" s="11"/>
      <c r="B12" s="11">
        <f>IF(OR(B9=Number_Properties,B9=""),"",B9+1)</f>
        <v>2</v>
      </c>
      <c r="C12" s="16" t="str">
        <f>IF(B12="","",VLOOKUP(B12,P_List_Table,2,FALSE))</f>
        <v>Property Name #2</v>
      </c>
      <c r="D12" s="36"/>
      <c r="E12" s="36"/>
      <c r="F12" s="36"/>
      <c r="G12" s="36"/>
      <c r="H12" s="36"/>
      <c r="I12" s="113"/>
      <c r="J12" s="36"/>
      <c r="K12" s="36"/>
      <c r="L12" s="36"/>
      <c r="M12" s="36"/>
      <c r="N12" s="36"/>
      <c r="O12" s="36"/>
      <c r="P12" s="36"/>
      <c r="Q12" s="36"/>
      <c r="R12" s="36"/>
    </row>
    <row r="13" spans="1:20" outlineLevel="1" x14ac:dyDescent="0.25">
      <c r="B13" s="56" t="str">
        <f>C12&amp;C13</f>
        <v>Property Name #2Debt Service</v>
      </c>
      <c r="C13" s="18" t="str">
        <f>IF(C12="","","Debt Service")</f>
        <v>Debt Service</v>
      </c>
      <c r="D13" s="51">
        <f t="shared" ref="D13:R13" si="6">IF($C12="","",IF(VLOOKUP($C12,P_List_Table_2,14,FALSE)&lt;D$3,VLOOKUP($C12,P_List_Table_2,11,FALSE),VLOOKUP($C12,P_List_Table_2,12,FALSE)))</f>
        <v>1755000</v>
      </c>
      <c r="E13" s="51">
        <f t="shared" si="6"/>
        <v>1755000</v>
      </c>
      <c r="F13" s="51">
        <f t="shared" si="6"/>
        <v>1755000</v>
      </c>
      <c r="G13" s="51">
        <f t="shared" si="6"/>
        <v>2497811.8825078718</v>
      </c>
      <c r="H13" s="51">
        <f t="shared" si="6"/>
        <v>2497811.8825078718</v>
      </c>
      <c r="I13" s="51">
        <f t="shared" si="6"/>
        <v>2497811.8825078718</v>
      </c>
      <c r="J13" s="51">
        <f t="shared" si="6"/>
        <v>2497811.8825078718</v>
      </c>
      <c r="K13" s="51">
        <f t="shared" si="6"/>
        <v>2497811.8825078718</v>
      </c>
      <c r="L13" s="51">
        <f t="shared" si="6"/>
        <v>2497811.8825078718</v>
      </c>
      <c r="M13" s="51">
        <f t="shared" si="6"/>
        <v>2497811.8825078718</v>
      </c>
      <c r="N13" s="51">
        <f t="shared" si="6"/>
        <v>2497811.8825078718</v>
      </c>
      <c r="O13" s="51">
        <f t="shared" si="6"/>
        <v>2497811.8825078718</v>
      </c>
      <c r="P13" s="51">
        <f t="shared" si="6"/>
        <v>2497811.8825078718</v>
      </c>
      <c r="Q13" s="51">
        <f t="shared" si="6"/>
        <v>2497811.8825078718</v>
      </c>
      <c r="R13" s="51">
        <f t="shared" si="6"/>
        <v>2497811.8825078718</v>
      </c>
    </row>
    <row r="14" spans="1:20" outlineLevel="1" x14ac:dyDescent="0.25">
      <c r="B14" s="56" t="str">
        <f>C12&amp;C14</f>
        <v>Property Name #2Loan Balance</v>
      </c>
      <c r="C14" s="18" t="str">
        <f>IF(C12="","","Loan Balance")</f>
        <v>Loan Balance</v>
      </c>
      <c r="D14" s="51">
        <f t="shared" ref="D14:R14" si="7">IF($C12="","",IF(D$3&lt;=VLOOKUP($C12,P_List_Table_2,14,FALSE),VLOOKUP($C12,P_List_Table_2,13,FALSE),-PV(VLOOKUP($C12,P_List_Table_2,10,FALSE)/12,(VLOOKUP($C12,P_List_Table_2,15,FALSE)-VLOOKUP($C12,P_List_Table_2,14,FALSE)-D$3+VLOOKUP($C12,P_List_Table_2,14,FALSE))*12,D13/12)))</f>
        <v>39000000</v>
      </c>
      <c r="E14" s="51">
        <f t="shared" si="7"/>
        <v>39000000</v>
      </c>
      <c r="F14" s="51">
        <f t="shared" si="7"/>
        <v>39000000</v>
      </c>
      <c r="G14" s="51">
        <f t="shared" si="7"/>
        <v>38241674.490655519</v>
      </c>
      <c r="H14" s="51">
        <f t="shared" si="7"/>
        <v>37448511.640088357</v>
      </c>
      <c r="I14" s="51">
        <f t="shared" si="7"/>
        <v>36618911.026937447</v>
      </c>
      <c r="J14" s="51">
        <f t="shared" si="7"/>
        <v>35751198.706764817</v>
      </c>
      <c r="K14" s="51">
        <f t="shared" si="7"/>
        <v>34843623.834417894</v>
      </c>
      <c r="L14" s="51">
        <f t="shared" si="7"/>
        <v>33894355.131224118</v>
      </c>
      <c r="M14" s="51">
        <f t="shared" si="7"/>
        <v>32901477.189889111</v>
      </c>
      <c r="N14" s="51" t="e">
        <f t="shared" si="7"/>
        <v>#VALUE!</v>
      </c>
      <c r="O14" s="51" t="e">
        <f t="shared" si="7"/>
        <v>#VALUE!</v>
      </c>
      <c r="P14" s="51" t="e">
        <f t="shared" si="7"/>
        <v>#VALUE!</v>
      </c>
      <c r="Q14" s="51" t="e">
        <f t="shared" si="7"/>
        <v>#VALUE!</v>
      </c>
      <c r="R14" s="51" t="e">
        <f t="shared" si="7"/>
        <v>#VALUE!</v>
      </c>
    </row>
    <row r="15" spans="1:20" outlineLevel="1" x14ac:dyDescent="0.25">
      <c r="B15" s="11" t="str">
        <f>IF(OR(B12=Number_Properties,B12=""),"",B12+1)</f>
        <v/>
      </c>
      <c r="C15" s="16" t="str">
        <f>IF(B15="","",VLOOKUP(B15,P_List_Table,2,FALSE))</f>
        <v/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1:20" outlineLevel="1" x14ac:dyDescent="0.25">
      <c r="B16" s="56" t="str">
        <f>C15&amp;C16</f>
        <v/>
      </c>
      <c r="C16" s="18" t="str">
        <f>IF(C15="","","Debt Service")</f>
        <v/>
      </c>
      <c r="D16" s="51" t="str">
        <f t="shared" ref="D16:R16" si="8">IF($C15="","",IF(VLOOKUP($C15,P_List_Table_2,14,FALSE)&lt;D$3,VLOOKUP($C15,P_List_Table_2,11,FALSE),VLOOKUP($C15,P_List_Table_2,12,FALSE)))</f>
        <v/>
      </c>
      <c r="E16" s="51" t="str">
        <f t="shared" si="8"/>
        <v/>
      </c>
      <c r="F16" s="51" t="str">
        <f t="shared" si="8"/>
        <v/>
      </c>
      <c r="G16" s="51" t="str">
        <f t="shared" si="8"/>
        <v/>
      </c>
      <c r="H16" s="51" t="str">
        <f t="shared" si="8"/>
        <v/>
      </c>
      <c r="I16" s="51" t="str">
        <f t="shared" si="8"/>
        <v/>
      </c>
      <c r="J16" s="51" t="str">
        <f t="shared" si="8"/>
        <v/>
      </c>
      <c r="K16" s="51" t="str">
        <f t="shared" si="8"/>
        <v/>
      </c>
      <c r="L16" s="51" t="str">
        <f t="shared" si="8"/>
        <v/>
      </c>
      <c r="M16" s="51" t="str">
        <f t="shared" si="8"/>
        <v/>
      </c>
      <c r="N16" s="51" t="str">
        <f t="shared" si="8"/>
        <v/>
      </c>
      <c r="O16" s="51" t="str">
        <f t="shared" si="8"/>
        <v/>
      </c>
      <c r="P16" s="51" t="str">
        <f t="shared" si="8"/>
        <v/>
      </c>
      <c r="Q16" s="51" t="str">
        <f t="shared" si="8"/>
        <v/>
      </c>
      <c r="R16" s="51" t="str">
        <f t="shared" si="8"/>
        <v/>
      </c>
    </row>
    <row r="17" spans="2:18" outlineLevel="1" x14ac:dyDescent="0.25">
      <c r="B17" s="56" t="str">
        <f>C15&amp;C17</f>
        <v/>
      </c>
      <c r="C17" s="18" t="str">
        <f>IF(C15="","","Loan Balance")</f>
        <v/>
      </c>
      <c r="D17" s="51" t="str">
        <f t="shared" ref="D17:R17" si="9">IF($C15="","",IF(D$3&lt;=VLOOKUP($C15,P_List_Table_2,14,FALSE),VLOOKUP($C15,P_List_Table_2,13,FALSE),-PV(VLOOKUP($C15,P_List_Table_2,10,FALSE)/12,(VLOOKUP($C15,P_List_Table_2,15,FALSE)-VLOOKUP($C15,P_List_Table_2,14,FALSE)-D$3+VLOOKUP($C15,P_List_Table_2,14,FALSE))*12,D16/12)))</f>
        <v/>
      </c>
      <c r="E17" s="51" t="str">
        <f t="shared" si="9"/>
        <v/>
      </c>
      <c r="F17" s="51" t="str">
        <f t="shared" si="9"/>
        <v/>
      </c>
      <c r="G17" s="51" t="str">
        <f t="shared" si="9"/>
        <v/>
      </c>
      <c r="H17" s="51" t="str">
        <f t="shared" si="9"/>
        <v/>
      </c>
      <c r="I17" s="51" t="str">
        <f t="shared" si="9"/>
        <v/>
      </c>
      <c r="J17" s="51" t="str">
        <f t="shared" si="9"/>
        <v/>
      </c>
      <c r="K17" s="51" t="str">
        <f t="shared" si="9"/>
        <v/>
      </c>
      <c r="L17" s="51" t="str">
        <f t="shared" si="9"/>
        <v/>
      </c>
      <c r="M17" s="51" t="str">
        <f t="shared" si="9"/>
        <v/>
      </c>
      <c r="N17" s="51" t="str">
        <f t="shared" si="9"/>
        <v/>
      </c>
      <c r="O17" s="51" t="str">
        <f t="shared" si="9"/>
        <v/>
      </c>
      <c r="P17" s="51" t="str">
        <f t="shared" si="9"/>
        <v/>
      </c>
      <c r="Q17" s="51" t="str">
        <f t="shared" si="9"/>
        <v/>
      </c>
      <c r="R17" s="51" t="str">
        <f t="shared" si="9"/>
        <v/>
      </c>
    </row>
    <row r="18" spans="2:18" outlineLevel="1" collapsed="1" x14ac:dyDescent="0.25">
      <c r="B18" s="11" t="str">
        <f>IF(OR(B15=Number_Properties,B15=""),"",B15+1)</f>
        <v/>
      </c>
      <c r="C18" s="16" t="str">
        <f>IF(B18="","",VLOOKUP(B18,P_List_Table,2,FALSE))</f>
        <v/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</row>
    <row r="19" spans="2:18" outlineLevel="1" x14ac:dyDescent="0.25">
      <c r="B19" s="56" t="str">
        <f>C18&amp;C19</f>
        <v/>
      </c>
      <c r="C19" s="18" t="str">
        <f>IF(C18="","","Debt Service")</f>
        <v/>
      </c>
      <c r="D19" s="51" t="str">
        <f t="shared" ref="D19:R19" si="10">IF($C18="","",IF(VLOOKUP($C18,P_List_Table_2,14,FALSE)&lt;D$3,VLOOKUP($C18,P_List_Table_2,11,FALSE),VLOOKUP($C18,P_List_Table_2,12,FALSE)))</f>
        <v/>
      </c>
      <c r="E19" s="51" t="str">
        <f t="shared" si="10"/>
        <v/>
      </c>
      <c r="F19" s="51" t="str">
        <f t="shared" si="10"/>
        <v/>
      </c>
      <c r="G19" s="51" t="str">
        <f t="shared" si="10"/>
        <v/>
      </c>
      <c r="H19" s="51" t="str">
        <f t="shared" si="10"/>
        <v/>
      </c>
      <c r="I19" s="51" t="str">
        <f t="shared" si="10"/>
        <v/>
      </c>
      <c r="J19" s="51" t="str">
        <f t="shared" si="10"/>
        <v/>
      </c>
      <c r="K19" s="51" t="str">
        <f t="shared" si="10"/>
        <v/>
      </c>
      <c r="L19" s="51" t="str">
        <f t="shared" si="10"/>
        <v/>
      </c>
      <c r="M19" s="51" t="str">
        <f t="shared" si="10"/>
        <v/>
      </c>
      <c r="N19" s="51" t="str">
        <f t="shared" si="10"/>
        <v/>
      </c>
      <c r="O19" s="51" t="str">
        <f t="shared" si="10"/>
        <v/>
      </c>
      <c r="P19" s="51" t="str">
        <f t="shared" si="10"/>
        <v/>
      </c>
      <c r="Q19" s="51" t="str">
        <f t="shared" si="10"/>
        <v/>
      </c>
      <c r="R19" s="51" t="str">
        <f t="shared" si="10"/>
        <v/>
      </c>
    </row>
    <row r="20" spans="2:18" outlineLevel="1" x14ac:dyDescent="0.25">
      <c r="B20" s="56" t="str">
        <f>C18&amp;C20</f>
        <v/>
      </c>
      <c r="C20" s="18" t="str">
        <f>IF(C18="","","Loan Balance")</f>
        <v/>
      </c>
      <c r="D20" s="51" t="str">
        <f t="shared" ref="D20:R20" si="11">IF($C18="","",IF(D$3&lt;=VLOOKUP($C18,P_List_Table_2,14,FALSE),VLOOKUP($C18,P_List_Table_2,13,FALSE),-PV(VLOOKUP($C18,P_List_Table_2,10,FALSE)/12,(VLOOKUP($C18,P_List_Table_2,15,FALSE)-VLOOKUP($C18,P_List_Table_2,14,FALSE)-D$3+VLOOKUP($C18,P_List_Table_2,14,FALSE))*12,D19/12)))</f>
        <v/>
      </c>
      <c r="E20" s="51" t="str">
        <f t="shared" si="11"/>
        <v/>
      </c>
      <c r="F20" s="51" t="str">
        <f t="shared" si="11"/>
        <v/>
      </c>
      <c r="G20" s="51" t="str">
        <f t="shared" si="11"/>
        <v/>
      </c>
      <c r="H20" s="51" t="str">
        <f t="shared" si="11"/>
        <v/>
      </c>
      <c r="I20" s="51" t="str">
        <f t="shared" si="11"/>
        <v/>
      </c>
      <c r="J20" s="51" t="str">
        <f t="shared" si="11"/>
        <v/>
      </c>
      <c r="K20" s="51" t="str">
        <f t="shared" si="11"/>
        <v/>
      </c>
      <c r="L20" s="51" t="str">
        <f t="shared" si="11"/>
        <v/>
      </c>
      <c r="M20" s="51" t="str">
        <f t="shared" si="11"/>
        <v/>
      </c>
      <c r="N20" s="51" t="str">
        <f t="shared" si="11"/>
        <v/>
      </c>
      <c r="O20" s="51" t="str">
        <f t="shared" si="11"/>
        <v/>
      </c>
      <c r="P20" s="51" t="str">
        <f t="shared" si="11"/>
        <v/>
      </c>
      <c r="Q20" s="51" t="str">
        <f t="shared" si="11"/>
        <v/>
      </c>
      <c r="R20" s="51" t="str">
        <f t="shared" si="11"/>
        <v/>
      </c>
    </row>
    <row r="21" spans="2:18" outlineLevel="1" collapsed="1" x14ac:dyDescent="0.25">
      <c r="B21" s="11" t="str">
        <f>IF(OR(B18=Number_Properties,B18=""),"",B18+1)</f>
        <v/>
      </c>
      <c r="C21" s="16" t="str">
        <f>IF(B21="","",VLOOKUP(B21,P_List_Table,2,FALSE))</f>
        <v/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</row>
    <row r="22" spans="2:18" outlineLevel="1" x14ac:dyDescent="0.25">
      <c r="B22" s="56" t="str">
        <f>C21&amp;C22</f>
        <v/>
      </c>
      <c r="C22" s="18" t="str">
        <f>IF(C21="","","Debt Service")</f>
        <v/>
      </c>
      <c r="D22" s="51" t="str">
        <f t="shared" ref="D22:R22" si="12">IF($C21="","",IF(VLOOKUP($C21,P_List_Table_2,14,FALSE)&lt;D$3,VLOOKUP($C21,P_List_Table_2,11,FALSE),VLOOKUP($C21,P_List_Table_2,12,FALSE)))</f>
        <v/>
      </c>
      <c r="E22" s="51" t="str">
        <f t="shared" si="12"/>
        <v/>
      </c>
      <c r="F22" s="51" t="str">
        <f t="shared" si="12"/>
        <v/>
      </c>
      <c r="G22" s="51" t="str">
        <f t="shared" si="12"/>
        <v/>
      </c>
      <c r="H22" s="51" t="str">
        <f t="shared" si="12"/>
        <v/>
      </c>
      <c r="I22" s="51" t="str">
        <f t="shared" si="12"/>
        <v/>
      </c>
      <c r="J22" s="51" t="str">
        <f t="shared" si="12"/>
        <v/>
      </c>
      <c r="K22" s="51" t="str">
        <f t="shared" si="12"/>
        <v/>
      </c>
      <c r="L22" s="51" t="str">
        <f t="shared" si="12"/>
        <v/>
      </c>
      <c r="M22" s="51" t="str">
        <f t="shared" si="12"/>
        <v/>
      </c>
      <c r="N22" s="51" t="str">
        <f t="shared" si="12"/>
        <v/>
      </c>
      <c r="O22" s="51" t="str">
        <f t="shared" si="12"/>
        <v/>
      </c>
      <c r="P22" s="51" t="str">
        <f t="shared" si="12"/>
        <v/>
      </c>
      <c r="Q22" s="51" t="str">
        <f t="shared" si="12"/>
        <v/>
      </c>
      <c r="R22" s="51" t="str">
        <f t="shared" si="12"/>
        <v/>
      </c>
    </row>
    <row r="23" spans="2:18" outlineLevel="1" x14ac:dyDescent="0.25">
      <c r="B23" s="56" t="str">
        <f>C21&amp;C23</f>
        <v/>
      </c>
      <c r="C23" s="18" t="str">
        <f>IF(C21="","","Loan Balance")</f>
        <v/>
      </c>
      <c r="D23" s="51" t="str">
        <f t="shared" ref="D23:R23" si="13">IF($C21="","",IF(D$3&lt;=VLOOKUP($C21,P_List_Table_2,14,FALSE),VLOOKUP($C21,P_List_Table_2,13,FALSE),-PV(VLOOKUP($C21,P_List_Table_2,10,FALSE)/12,(VLOOKUP($C21,P_List_Table_2,15,FALSE)-VLOOKUP($C21,P_List_Table_2,14,FALSE)-D$3+VLOOKUP($C21,P_List_Table_2,14,FALSE))*12,D22/12)))</f>
        <v/>
      </c>
      <c r="E23" s="51" t="str">
        <f t="shared" si="13"/>
        <v/>
      </c>
      <c r="F23" s="51" t="str">
        <f t="shared" si="13"/>
        <v/>
      </c>
      <c r="G23" s="51" t="str">
        <f t="shared" si="13"/>
        <v/>
      </c>
      <c r="H23" s="51" t="str">
        <f t="shared" si="13"/>
        <v/>
      </c>
      <c r="I23" s="51" t="str">
        <f t="shared" si="13"/>
        <v/>
      </c>
      <c r="J23" s="51" t="str">
        <f t="shared" si="13"/>
        <v/>
      </c>
      <c r="K23" s="51" t="str">
        <f t="shared" si="13"/>
        <v/>
      </c>
      <c r="L23" s="51" t="str">
        <f t="shared" si="13"/>
        <v/>
      </c>
      <c r="M23" s="51" t="str">
        <f t="shared" si="13"/>
        <v/>
      </c>
      <c r="N23" s="51" t="str">
        <f t="shared" si="13"/>
        <v/>
      </c>
      <c r="O23" s="51" t="str">
        <f t="shared" si="13"/>
        <v/>
      </c>
      <c r="P23" s="51" t="str">
        <f t="shared" si="13"/>
        <v/>
      </c>
      <c r="Q23" s="51" t="str">
        <f t="shared" si="13"/>
        <v/>
      </c>
      <c r="R23" s="51" t="str">
        <f t="shared" si="13"/>
        <v/>
      </c>
    </row>
    <row r="24" spans="2:18" outlineLevel="1" collapsed="1" x14ac:dyDescent="0.25">
      <c r="B24" s="11" t="str">
        <f>IF(OR(B21=Number_Properties,B21=""),"",B21+1)</f>
        <v/>
      </c>
      <c r="C24" s="16" t="str">
        <f>IF(B24="","",VLOOKUP(B24,P_List_Table,2,FALSE))</f>
        <v/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2:18" outlineLevel="1" x14ac:dyDescent="0.25">
      <c r="B25" s="56" t="str">
        <f>C24&amp;C25</f>
        <v/>
      </c>
      <c r="C25" s="18" t="str">
        <f>IF(C24="","","Debt Service")</f>
        <v/>
      </c>
      <c r="D25" s="51" t="str">
        <f t="shared" ref="D25:R25" si="14">IF($C24="","",IF(VLOOKUP($C24,P_List_Table_2,14,FALSE)&lt;D$3,VLOOKUP($C24,P_List_Table_2,11,FALSE),VLOOKUP($C24,P_List_Table_2,12,FALSE)))</f>
        <v/>
      </c>
      <c r="E25" s="51" t="str">
        <f t="shared" si="14"/>
        <v/>
      </c>
      <c r="F25" s="51" t="str">
        <f t="shared" si="14"/>
        <v/>
      </c>
      <c r="G25" s="51" t="str">
        <f t="shared" si="14"/>
        <v/>
      </c>
      <c r="H25" s="51" t="str">
        <f t="shared" si="14"/>
        <v/>
      </c>
      <c r="I25" s="51" t="str">
        <f t="shared" si="14"/>
        <v/>
      </c>
      <c r="J25" s="51" t="str">
        <f t="shared" si="14"/>
        <v/>
      </c>
      <c r="K25" s="51" t="str">
        <f t="shared" si="14"/>
        <v/>
      </c>
      <c r="L25" s="51" t="str">
        <f t="shared" si="14"/>
        <v/>
      </c>
      <c r="M25" s="51" t="str">
        <f t="shared" si="14"/>
        <v/>
      </c>
      <c r="N25" s="51" t="str">
        <f t="shared" si="14"/>
        <v/>
      </c>
      <c r="O25" s="51" t="str">
        <f t="shared" si="14"/>
        <v/>
      </c>
      <c r="P25" s="51" t="str">
        <f t="shared" si="14"/>
        <v/>
      </c>
      <c r="Q25" s="51" t="str">
        <f t="shared" si="14"/>
        <v/>
      </c>
      <c r="R25" s="51" t="str">
        <f t="shared" si="14"/>
        <v/>
      </c>
    </row>
    <row r="26" spans="2:18" outlineLevel="1" x14ac:dyDescent="0.25">
      <c r="B26" s="56" t="str">
        <f>C24&amp;C26</f>
        <v/>
      </c>
      <c r="C26" s="18" t="str">
        <f>IF(C24="","","Loan Balance")</f>
        <v/>
      </c>
      <c r="D26" s="51" t="str">
        <f t="shared" ref="D26:R26" si="15">IF($C24="","",IF(D$3&lt;=VLOOKUP($C24,P_List_Table_2,14,FALSE),VLOOKUP($C24,P_List_Table_2,13,FALSE),-PV(VLOOKUP($C24,P_List_Table_2,10,FALSE)/12,(VLOOKUP($C24,P_List_Table_2,15,FALSE)-VLOOKUP($C24,P_List_Table_2,14,FALSE)-D$3+VLOOKUP($C24,P_List_Table_2,14,FALSE))*12,D25/12)))</f>
        <v/>
      </c>
      <c r="E26" s="51" t="str">
        <f t="shared" si="15"/>
        <v/>
      </c>
      <c r="F26" s="51" t="str">
        <f t="shared" si="15"/>
        <v/>
      </c>
      <c r="G26" s="51" t="str">
        <f t="shared" si="15"/>
        <v/>
      </c>
      <c r="H26" s="51" t="str">
        <f t="shared" si="15"/>
        <v/>
      </c>
      <c r="I26" s="51" t="str">
        <f t="shared" si="15"/>
        <v/>
      </c>
      <c r="J26" s="51" t="str">
        <f t="shared" si="15"/>
        <v/>
      </c>
      <c r="K26" s="51" t="str">
        <f t="shared" si="15"/>
        <v/>
      </c>
      <c r="L26" s="51" t="str">
        <f t="shared" si="15"/>
        <v/>
      </c>
      <c r="M26" s="51" t="str">
        <f t="shared" si="15"/>
        <v/>
      </c>
      <c r="N26" s="51" t="str">
        <f t="shared" si="15"/>
        <v/>
      </c>
      <c r="O26" s="51" t="str">
        <f t="shared" si="15"/>
        <v/>
      </c>
      <c r="P26" s="51" t="str">
        <f t="shared" si="15"/>
        <v/>
      </c>
      <c r="Q26" s="51" t="str">
        <f t="shared" si="15"/>
        <v/>
      </c>
      <c r="R26" s="51" t="str">
        <f t="shared" si="15"/>
        <v/>
      </c>
    </row>
    <row r="27" spans="2:18" outlineLevel="1" collapsed="1" x14ac:dyDescent="0.25">
      <c r="B27" s="11" t="str">
        <f>IF(OR(B24=Number_Properties,B24=""),"",B24+1)</f>
        <v/>
      </c>
      <c r="C27" s="11" t="str">
        <f>IF(B27="","",VLOOKUP(B27,P_List_Table,2,FALSE))</f>
        <v/>
      </c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spans="2:18" outlineLevel="1" x14ac:dyDescent="0.25">
      <c r="B28" s="56" t="str">
        <f>C27&amp;C28</f>
        <v/>
      </c>
      <c r="C28" s="18" t="str">
        <f>IF(C27="","","Debt Service")</f>
        <v/>
      </c>
      <c r="D28" s="51" t="str">
        <f t="shared" ref="D28:R28" si="16">IF($C27="","",IF(VLOOKUP($C27,P_List_Table_2,14,FALSE)&lt;D$3,VLOOKUP($C27,P_List_Table_2,11,FALSE),VLOOKUP($C27,P_List_Table_2,12,FALSE)))</f>
        <v/>
      </c>
      <c r="E28" s="51" t="str">
        <f t="shared" si="16"/>
        <v/>
      </c>
      <c r="F28" s="51" t="str">
        <f t="shared" si="16"/>
        <v/>
      </c>
      <c r="G28" s="51" t="str">
        <f t="shared" si="16"/>
        <v/>
      </c>
      <c r="H28" s="51" t="str">
        <f t="shared" si="16"/>
        <v/>
      </c>
      <c r="I28" s="51" t="str">
        <f t="shared" si="16"/>
        <v/>
      </c>
      <c r="J28" s="51" t="str">
        <f t="shared" si="16"/>
        <v/>
      </c>
      <c r="K28" s="51" t="str">
        <f t="shared" si="16"/>
        <v/>
      </c>
      <c r="L28" s="51" t="str">
        <f t="shared" si="16"/>
        <v/>
      </c>
      <c r="M28" s="51" t="str">
        <f t="shared" si="16"/>
        <v/>
      </c>
      <c r="N28" s="51" t="str">
        <f t="shared" si="16"/>
        <v/>
      </c>
      <c r="O28" s="51" t="str">
        <f t="shared" si="16"/>
        <v/>
      </c>
      <c r="P28" s="51" t="str">
        <f t="shared" si="16"/>
        <v/>
      </c>
      <c r="Q28" s="51" t="str">
        <f t="shared" si="16"/>
        <v/>
      </c>
      <c r="R28" s="51" t="str">
        <f t="shared" si="16"/>
        <v/>
      </c>
    </row>
    <row r="29" spans="2:18" outlineLevel="1" x14ac:dyDescent="0.25">
      <c r="B29" s="56" t="str">
        <f>C27&amp;C29</f>
        <v/>
      </c>
      <c r="C29" s="18" t="str">
        <f>IF(C27="","","Loan Balance")</f>
        <v/>
      </c>
      <c r="D29" s="51" t="str">
        <f t="shared" ref="D29:R29" si="17">IF($C27="","",IF(D$3&lt;=VLOOKUP($C27,P_List_Table_2,14,FALSE),VLOOKUP($C27,P_List_Table_2,13,FALSE),-PV(VLOOKUP($C27,P_List_Table_2,10,FALSE)/12,(VLOOKUP($C27,P_List_Table_2,15,FALSE)-VLOOKUP($C27,P_List_Table_2,14,FALSE)-D$3+VLOOKUP($C27,P_List_Table_2,14,FALSE))*12,D28/12)))</f>
        <v/>
      </c>
      <c r="E29" s="51" t="str">
        <f t="shared" si="17"/>
        <v/>
      </c>
      <c r="F29" s="51" t="str">
        <f t="shared" si="17"/>
        <v/>
      </c>
      <c r="G29" s="51" t="str">
        <f t="shared" si="17"/>
        <v/>
      </c>
      <c r="H29" s="51" t="str">
        <f t="shared" si="17"/>
        <v/>
      </c>
      <c r="I29" s="51" t="str">
        <f t="shared" si="17"/>
        <v/>
      </c>
      <c r="J29" s="51" t="str">
        <f t="shared" si="17"/>
        <v/>
      </c>
      <c r="K29" s="51" t="str">
        <f t="shared" si="17"/>
        <v/>
      </c>
      <c r="L29" s="51" t="str">
        <f t="shared" si="17"/>
        <v/>
      </c>
      <c r="M29" s="51" t="str">
        <f t="shared" si="17"/>
        <v/>
      </c>
      <c r="N29" s="51" t="str">
        <f t="shared" si="17"/>
        <v/>
      </c>
      <c r="O29" s="51" t="str">
        <f t="shared" si="17"/>
        <v/>
      </c>
      <c r="P29" s="51" t="str">
        <f t="shared" si="17"/>
        <v/>
      </c>
      <c r="Q29" s="51" t="str">
        <f t="shared" si="17"/>
        <v/>
      </c>
      <c r="R29" s="51" t="str">
        <f t="shared" si="17"/>
        <v/>
      </c>
    </row>
    <row r="30" spans="2:18" outlineLevel="1" collapsed="1" x14ac:dyDescent="0.25">
      <c r="B30" s="11" t="str">
        <f>IF(OR(B27=Number_Properties,B27=""),"",B27+1)</f>
        <v/>
      </c>
      <c r="C30" s="11" t="str">
        <f>IF(B30="","",VLOOKUP(B30,P_List_Table,2,FALSE))</f>
        <v/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</row>
    <row r="31" spans="2:18" outlineLevel="1" x14ac:dyDescent="0.25">
      <c r="B31" s="56" t="str">
        <f>C30&amp;C31</f>
        <v/>
      </c>
      <c r="C31" s="18" t="str">
        <f>IF(C30="","","Debt Service")</f>
        <v/>
      </c>
      <c r="D31" s="51" t="str">
        <f t="shared" ref="D31:R31" si="18">IF($C30="","",IF(VLOOKUP($C30,P_List_Table_2,14,FALSE)&lt;D$3,VLOOKUP($C30,P_List_Table_2,11,FALSE),VLOOKUP($C30,P_List_Table_2,12,FALSE)))</f>
        <v/>
      </c>
      <c r="E31" s="51" t="str">
        <f t="shared" si="18"/>
        <v/>
      </c>
      <c r="F31" s="51" t="str">
        <f t="shared" si="18"/>
        <v/>
      </c>
      <c r="G31" s="51" t="str">
        <f t="shared" si="18"/>
        <v/>
      </c>
      <c r="H31" s="51" t="str">
        <f t="shared" si="18"/>
        <v/>
      </c>
      <c r="I31" s="51" t="str">
        <f t="shared" si="18"/>
        <v/>
      </c>
      <c r="J31" s="51" t="str">
        <f t="shared" si="18"/>
        <v/>
      </c>
      <c r="K31" s="51" t="str">
        <f t="shared" si="18"/>
        <v/>
      </c>
      <c r="L31" s="51" t="str">
        <f t="shared" si="18"/>
        <v/>
      </c>
      <c r="M31" s="51" t="str">
        <f t="shared" si="18"/>
        <v/>
      </c>
      <c r="N31" s="51" t="str">
        <f t="shared" si="18"/>
        <v/>
      </c>
      <c r="O31" s="51" t="str">
        <f t="shared" si="18"/>
        <v/>
      </c>
      <c r="P31" s="51" t="str">
        <f t="shared" si="18"/>
        <v/>
      </c>
      <c r="Q31" s="51" t="str">
        <f t="shared" si="18"/>
        <v/>
      </c>
      <c r="R31" s="51" t="str">
        <f t="shared" si="18"/>
        <v/>
      </c>
    </row>
    <row r="32" spans="2:18" outlineLevel="1" x14ac:dyDescent="0.25">
      <c r="B32" s="56" t="str">
        <f>C30&amp;C32</f>
        <v/>
      </c>
      <c r="C32" s="18" t="str">
        <f>IF(C30="","","Loan Balance")</f>
        <v/>
      </c>
      <c r="D32" s="51" t="str">
        <f t="shared" ref="D32:R32" si="19">IF($C30="","",IF(D$3&lt;=VLOOKUP($C30,P_List_Table_2,14,FALSE),VLOOKUP($C30,P_List_Table_2,13,FALSE),-PV(VLOOKUP($C30,P_List_Table_2,10,FALSE)/12,(VLOOKUP($C30,P_List_Table_2,15,FALSE)-VLOOKUP($C30,P_List_Table_2,14,FALSE)-D$3+VLOOKUP($C30,P_List_Table_2,14,FALSE))*12,D31/12)))</f>
        <v/>
      </c>
      <c r="E32" s="51" t="str">
        <f t="shared" si="19"/>
        <v/>
      </c>
      <c r="F32" s="51" t="str">
        <f t="shared" si="19"/>
        <v/>
      </c>
      <c r="G32" s="51" t="str">
        <f t="shared" si="19"/>
        <v/>
      </c>
      <c r="H32" s="51" t="str">
        <f t="shared" si="19"/>
        <v/>
      </c>
      <c r="I32" s="51" t="str">
        <f t="shared" si="19"/>
        <v/>
      </c>
      <c r="J32" s="51" t="str">
        <f t="shared" si="19"/>
        <v/>
      </c>
      <c r="K32" s="51" t="str">
        <f t="shared" si="19"/>
        <v/>
      </c>
      <c r="L32" s="51" t="str">
        <f t="shared" si="19"/>
        <v/>
      </c>
      <c r="M32" s="51" t="str">
        <f t="shared" si="19"/>
        <v/>
      </c>
      <c r="N32" s="51" t="str">
        <f t="shared" si="19"/>
        <v/>
      </c>
      <c r="O32" s="51" t="str">
        <f t="shared" si="19"/>
        <v/>
      </c>
      <c r="P32" s="51" t="str">
        <f t="shared" si="19"/>
        <v/>
      </c>
      <c r="Q32" s="51" t="str">
        <f t="shared" si="19"/>
        <v/>
      </c>
      <c r="R32" s="51" t="str">
        <f t="shared" si="19"/>
        <v/>
      </c>
    </row>
    <row r="33" spans="2:18" outlineLevel="1" collapsed="1" x14ac:dyDescent="0.25">
      <c r="B33" s="11" t="str">
        <f>IF(OR(B30=Number_Properties,B30=""),"",B30+1)</f>
        <v/>
      </c>
      <c r="C33" s="11" t="str">
        <f>IF(B33="","",VLOOKUP(B33,P_List_Table,2,FALSE))</f>
        <v/>
      </c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</row>
    <row r="34" spans="2:18" outlineLevel="1" x14ac:dyDescent="0.25">
      <c r="B34" s="56" t="str">
        <f>C33&amp;C34</f>
        <v/>
      </c>
      <c r="C34" s="18" t="str">
        <f>IF(C33="","","Debt Service")</f>
        <v/>
      </c>
      <c r="D34" s="51" t="str">
        <f t="shared" ref="D34:R34" si="20">IF($C33="","",IF(VLOOKUP($C33,P_List_Table_2,14,FALSE)&lt;D$3,VLOOKUP($C33,P_List_Table_2,11,FALSE),VLOOKUP($C33,P_List_Table_2,12,FALSE)))</f>
        <v/>
      </c>
      <c r="E34" s="51" t="str">
        <f t="shared" si="20"/>
        <v/>
      </c>
      <c r="F34" s="51" t="str">
        <f t="shared" si="20"/>
        <v/>
      </c>
      <c r="G34" s="51" t="str">
        <f t="shared" si="20"/>
        <v/>
      </c>
      <c r="H34" s="51" t="str">
        <f t="shared" si="20"/>
        <v/>
      </c>
      <c r="I34" s="51" t="str">
        <f t="shared" si="20"/>
        <v/>
      </c>
      <c r="J34" s="51" t="str">
        <f t="shared" si="20"/>
        <v/>
      </c>
      <c r="K34" s="51" t="str">
        <f t="shared" si="20"/>
        <v/>
      </c>
      <c r="L34" s="51" t="str">
        <f t="shared" si="20"/>
        <v/>
      </c>
      <c r="M34" s="51" t="str">
        <f t="shared" si="20"/>
        <v/>
      </c>
      <c r="N34" s="51" t="str">
        <f t="shared" si="20"/>
        <v/>
      </c>
      <c r="O34" s="51" t="str">
        <f t="shared" si="20"/>
        <v/>
      </c>
      <c r="P34" s="51" t="str">
        <f t="shared" si="20"/>
        <v/>
      </c>
      <c r="Q34" s="51" t="str">
        <f t="shared" si="20"/>
        <v/>
      </c>
      <c r="R34" s="51" t="str">
        <f t="shared" si="20"/>
        <v/>
      </c>
    </row>
    <row r="35" spans="2:18" outlineLevel="1" x14ac:dyDescent="0.25">
      <c r="B35" s="56" t="str">
        <f>C33&amp;C35</f>
        <v/>
      </c>
      <c r="C35" s="18" t="str">
        <f>IF(C33="","","Loan Balance")</f>
        <v/>
      </c>
      <c r="D35" s="51" t="str">
        <f t="shared" ref="D35:R35" si="21">IF($C33="","",IF(D$3&lt;=VLOOKUP($C33,P_List_Table_2,14,FALSE),VLOOKUP($C33,P_List_Table_2,13,FALSE),-PV(VLOOKUP($C33,P_List_Table_2,10,FALSE)/12,(VLOOKUP($C33,P_List_Table_2,15,FALSE)-VLOOKUP($C33,P_List_Table_2,14,FALSE)-D$3+VLOOKUP($C33,P_List_Table_2,14,FALSE))*12,D34/12)))</f>
        <v/>
      </c>
      <c r="E35" s="51" t="str">
        <f t="shared" si="21"/>
        <v/>
      </c>
      <c r="F35" s="51" t="str">
        <f t="shared" si="21"/>
        <v/>
      </c>
      <c r="G35" s="51" t="str">
        <f t="shared" si="21"/>
        <v/>
      </c>
      <c r="H35" s="51" t="str">
        <f t="shared" si="21"/>
        <v/>
      </c>
      <c r="I35" s="51" t="str">
        <f t="shared" si="21"/>
        <v/>
      </c>
      <c r="J35" s="51" t="str">
        <f t="shared" si="21"/>
        <v/>
      </c>
      <c r="K35" s="51" t="str">
        <f t="shared" si="21"/>
        <v/>
      </c>
      <c r="L35" s="51" t="str">
        <f t="shared" si="21"/>
        <v/>
      </c>
      <c r="M35" s="51" t="str">
        <f t="shared" si="21"/>
        <v/>
      </c>
      <c r="N35" s="51" t="str">
        <f t="shared" si="21"/>
        <v/>
      </c>
      <c r="O35" s="51" t="str">
        <f t="shared" si="21"/>
        <v/>
      </c>
      <c r="P35" s="51" t="str">
        <f t="shared" si="21"/>
        <v/>
      </c>
      <c r="Q35" s="51" t="str">
        <f t="shared" si="21"/>
        <v/>
      </c>
      <c r="R35" s="51" t="str">
        <f t="shared" si="21"/>
        <v/>
      </c>
    </row>
    <row r="36" spans="2:18" outlineLevel="1" collapsed="1" x14ac:dyDescent="0.25">
      <c r="B36" s="11" t="str">
        <f>IF(OR(B33=Number_Properties,B33=""),"",B33+1)</f>
        <v/>
      </c>
      <c r="C36" s="11" t="str">
        <f>IF(B36="","",VLOOKUP(B36,P_List_Table,2,FALSE))</f>
        <v/>
      </c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2:18" outlineLevel="1" x14ac:dyDescent="0.25">
      <c r="B37" s="56" t="str">
        <f>C36&amp;C37</f>
        <v/>
      </c>
      <c r="C37" s="18" t="str">
        <f>IF(C36="","","Debt Service")</f>
        <v/>
      </c>
      <c r="D37" s="51" t="str">
        <f t="shared" ref="D37:R37" si="22">IF($C36="","",IF(VLOOKUP($C36,P_List_Table_2,14,FALSE)&lt;D$3,VLOOKUP($C36,P_List_Table_2,11,FALSE),VLOOKUP($C36,P_List_Table_2,12,FALSE)))</f>
        <v/>
      </c>
      <c r="E37" s="51" t="str">
        <f t="shared" si="22"/>
        <v/>
      </c>
      <c r="F37" s="51" t="str">
        <f t="shared" si="22"/>
        <v/>
      </c>
      <c r="G37" s="51" t="str">
        <f t="shared" si="22"/>
        <v/>
      </c>
      <c r="H37" s="51" t="str">
        <f t="shared" si="22"/>
        <v/>
      </c>
      <c r="I37" s="51" t="str">
        <f t="shared" si="22"/>
        <v/>
      </c>
      <c r="J37" s="51" t="str">
        <f t="shared" si="22"/>
        <v/>
      </c>
      <c r="K37" s="51" t="str">
        <f t="shared" si="22"/>
        <v/>
      </c>
      <c r="L37" s="51" t="str">
        <f t="shared" si="22"/>
        <v/>
      </c>
      <c r="M37" s="51" t="str">
        <f t="shared" si="22"/>
        <v/>
      </c>
      <c r="N37" s="51" t="str">
        <f t="shared" si="22"/>
        <v/>
      </c>
      <c r="O37" s="51" t="str">
        <f t="shared" si="22"/>
        <v/>
      </c>
      <c r="P37" s="51" t="str">
        <f t="shared" si="22"/>
        <v/>
      </c>
      <c r="Q37" s="51" t="str">
        <f t="shared" si="22"/>
        <v/>
      </c>
      <c r="R37" s="51" t="str">
        <f t="shared" si="22"/>
        <v/>
      </c>
    </row>
    <row r="38" spans="2:18" outlineLevel="1" x14ac:dyDescent="0.25">
      <c r="B38" s="56" t="str">
        <f>C36&amp;C38</f>
        <v/>
      </c>
      <c r="C38" s="18" t="str">
        <f>IF(C36="","","Loan Balance")</f>
        <v/>
      </c>
      <c r="D38" s="51" t="str">
        <f t="shared" ref="D38:R38" si="23">IF($C36="","",IF(D$3&lt;=VLOOKUP($C36,P_List_Table_2,14,FALSE),VLOOKUP($C36,P_List_Table_2,13,FALSE),-PV(VLOOKUP($C36,P_List_Table_2,10,FALSE)/12,(VLOOKUP($C36,P_List_Table_2,15,FALSE)-VLOOKUP($C36,P_List_Table_2,14,FALSE)-D$3+VLOOKUP($C36,P_List_Table_2,14,FALSE))*12,D37/12)))</f>
        <v/>
      </c>
      <c r="E38" s="51" t="str">
        <f t="shared" si="23"/>
        <v/>
      </c>
      <c r="F38" s="51" t="str">
        <f t="shared" si="23"/>
        <v/>
      </c>
      <c r="G38" s="51" t="str">
        <f t="shared" si="23"/>
        <v/>
      </c>
      <c r="H38" s="51" t="str">
        <f t="shared" si="23"/>
        <v/>
      </c>
      <c r="I38" s="51" t="str">
        <f t="shared" si="23"/>
        <v/>
      </c>
      <c r="J38" s="51" t="str">
        <f t="shared" si="23"/>
        <v/>
      </c>
      <c r="K38" s="51" t="str">
        <f t="shared" si="23"/>
        <v/>
      </c>
      <c r="L38" s="51" t="str">
        <f t="shared" si="23"/>
        <v/>
      </c>
      <c r="M38" s="51" t="str">
        <f t="shared" si="23"/>
        <v/>
      </c>
      <c r="N38" s="51" t="str">
        <f t="shared" si="23"/>
        <v/>
      </c>
      <c r="O38" s="51" t="str">
        <f t="shared" si="23"/>
        <v/>
      </c>
      <c r="P38" s="51" t="str">
        <f t="shared" si="23"/>
        <v/>
      </c>
      <c r="Q38" s="51" t="str">
        <f t="shared" si="23"/>
        <v/>
      </c>
      <c r="R38" s="51" t="str">
        <f t="shared" si="23"/>
        <v/>
      </c>
    </row>
    <row r="39" spans="2:18" outlineLevel="1" collapsed="1" x14ac:dyDescent="0.25">
      <c r="B39" s="11" t="str">
        <f>IF(OR(B36=Number_Properties,B36=""),"",B36+1)</f>
        <v/>
      </c>
      <c r="C39" s="11" t="str">
        <f>IF(B39="","",VLOOKUP(B39,P_List_Table,2,FALSE))</f>
        <v/>
      </c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</row>
    <row r="40" spans="2:18" outlineLevel="1" x14ac:dyDescent="0.25">
      <c r="B40" s="56" t="str">
        <f>C39&amp;C40</f>
        <v/>
      </c>
      <c r="C40" s="18" t="str">
        <f>IF(C39="","","Debt Service")</f>
        <v/>
      </c>
      <c r="D40" s="51" t="str">
        <f t="shared" ref="D40:R40" si="24">IF($C39="","",IF(VLOOKUP($C39,P_List_Table_2,14,FALSE)&lt;D$3,VLOOKUP($C39,P_List_Table_2,11,FALSE),VLOOKUP($C39,P_List_Table_2,12,FALSE)))</f>
        <v/>
      </c>
      <c r="E40" s="51" t="str">
        <f t="shared" si="24"/>
        <v/>
      </c>
      <c r="F40" s="51" t="str">
        <f t="shared" si="24"/>
        <v/>
      </c>
      <c r="G40" s="51" t="str">
        <f t="shared" si="24"/>
        <v/>
      </c>
      <c r="H40" s="51" t="str">
        <f t="shared" si="24"/>
        <v/>
      </c>
      <c r="I40" s="51" t="str">
        <f t="shared" si="24"/>
        <v/>
      </c>
      <c r="J40" s="51" t="str">
        <f t="shared" si="24"/>
        <v/>
      </c>
      <c r="K40" s="51" t="str">
        <f t="shared" si="24"/>
        <v/>
      </c>
      <c r="L40" s="51" t="str">
        <f t="shared" si="24"/>
        <v/>
      </c>
      <c r="M40" s="51" t="str">
        <f t="shared" si="24"/>
        <v/>
      </c>
      <c r="N40" s="51" t="str">
        <f t="shared" si="24"/>
        <v/>
      </c>
      <c r="O40" s="51" t="str">
        <f t="shared" si="24"/>
        <v/>
      </c>
      <c r="P40" s="51" t="str">
        <f t="shared" si="24"/>
        <v/>
      </c>
      <c r="Q40" s="51" t="str">
        <f t="shared" si="24"/>
        <v/>
      </c>
      <c r="R40" s="51" t="str">
        <f t="shared" si="24"/>
        <v/>
      </c>
    </row>
    <row r="41" spans="2:18" outlineLevel="1" x14ac:dyDescent="0.25">
      <c r="B41" s="56" t="str">
        <f>C39&amp;C41</f>
        <v/>
      </c>
      <c r="C41" s="18" t="str">
        <f>IF(C39="","","Loan Balance")</f>
        <v/>
      </c>
      <c r="D41" s="51" t="str">
        <f t="shared" ref="D41:R41" si="25">IF($C39="","",IF(D$3&lt;=VLOOKUP($C39,P_List_Table_2,14,FALSE),VLOOKUP($C39,P_List_Table_2,13,FALSE),-PV(VLOOKUP($C39,P_List_Table_2,10,FALSE)/12,(VLOOKUP($C39,P_List_Table_2,15,FALSE)-VLOOKUP($C39,P_List_Table_2,14,FALSE)-D$3+VLOOKUP($C39,P_List_Table_2,14,FALSE))*12,D40/12)))</f>
        <v/>
      </c>
      <c r="E41" s="51" t="str">
        <f t="shared" si="25"/>
        <v/>
      </c>
      <c r="F41" s="51" t="str">
        <f t="shared" si="25"/>
        <v/>
      </c>
      <c r="G41" s="51" t="str">
        <f t="shared" si="25"/>
        <v/>
      </c>
      <c r="H41" s="51" t="str">
        <f t="shared" si="25"/>
        <v/>
      </c>
      <c r="I41" s="51" t="str">
        <f t="shared" si="25"/>
        <v/>
      </c>
      <c r="J41" s="51" t="str">
        <f t="shared" si="25"/>
        <v/>
      </c>
      <c r="K41" s="51" t="str">
        <f t="shared" si="25"/>
        <v/>
      </c>
      <c r="L41" s="51" t="str">
        <f t="shared" si="25"/>
        <v/>
      </c>
      <c r="M41" s="51" t="str">
        <f t="shared" si="25"/>
        <v/>
      </c>
      <c r="N41" s="51" t="str">
        <f t="shared" si="25"/>
        <v/>
      </c>
      <c r="O41" s="51" t="str">
        <f t="shared" si="25"/>
        <v/>
      </c>
      <c r="P41" s="51" t="str">
        <f t="shared" si="25"/>
        <v/>
      </c>
      <c r="Q41" s="51" t="str">
        <f t="shared" si="25"/>
        <v/>
      </c>
      <c r="R41" s="51" t="str">
        <f t="shared" si="25"/>
        <v/>
      </c>
    </row>
    <row r="42" spans="2:18" outlineLevel="1" collapsed="1" x14ac:dyDescent="0.25">
      <c r="B42" s="11" t="str">
        <f>IF(OR(B39=Number_Properties,B39=""),"",B39+1)</f>
        <v/>
      </c>
      <c r="C42" s="11" t="str">
        <f>IF(B42="","",VLOOKUP(B42,P_List_Table,2,FALSE))</f>
        <v/>
      </c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</row>
    <row r="43" spans="2:18" outlineLevel="1" x14ac:dyDescent="0.25">
      <c r="B43" s="56" t="str">
        <f>C42&amp;C43</f>
        <v/>
      </c>
      <c r="C43" s="18" t="str">
        <f>IF(C42="","","Debt Service")</f>
        <v/>
      </c>
      <c r="D43" s="51" t="str">
        <f t="shared" ref="D43:R43" si="26">IF($C42="","",IF(VLOOKUP($C42,P_List_Table_2,14,FALSE)&lt;D$3,VLOOKUP($C42,P_List_Table_2,11,FALSE),VLOOKUP($C42,P_List_Table_2,12,FALSE)))</f>
        <v/>
      </c>
      <c r="E43" s="51" t="str">
        <f t="shared" si="26"/>
        <v/>
      </c>
      <c r="F43" s="51" t="str">
        <f t="shared" si="26"/>
        <v/>
      </c>
      <c r="G43" s="51" t="str">
        <f t="shared" si="26"/>
        <v/>
      </c>
      <c r="H43" s="51" t="str">
        <f t="shared" si="26"/>
        <v/>
      </c>
      <c r="I43" s="51" t="str">
        <f t="shared" si="26"/>
        <v/>
      </c>
      <c r="J43" s="51" t="str">
        <f t="shared" si="26"/>
        <v/>
      </c>
      <c r="K43" s="51" t="str">
        <f t="shared" si="26"/>
        <v/>
      </c>
      <c r="L43" s="51" t="str">
        <f t="shared" si="26"/>
        <v/>
      </c>
      <c r="M43" s="51" t="str">
        <f t="shared" si="26"/>
        <v/>
      </c>
      <c r="N43" s="51" t="str">
        <f t="shared" si="26"/>
        <v/>
      </c>
      <c r="O43" s="51" t="str">
        <f t="shared" si="26"/>
        <v/>
      </c>
      <c r="P43" s="51" t="str">
        <f t="shared" si="26"/>
        <v/>
      </c>
      <c r="Q43" s="51" t="str">
        <f t="shared" si="26"/>
        <v/>
      </c>
      <c r="R43" s="51" t="str">
        <f t="shared" si="26"/>
        <v/>
      </c>
    </row>
    <row r="44" spans="2:18" outlineLevel="1" x14ac:dyDescent="0.25">
      <c r="B44" s="56" t="str">
        <f>C42&amp;C44</f>
        <v/>
      </c>
      <c r="C44" s="18" t="str">
        <f>IF(C42="","","Loan Balance")</f>
        <v/>
      </c>
      <c r="D44" s="51" t="str">
        <f t="shared" ref="D44:R44" si="27">IF($C42="","",IF(D$3&lt;=VLOOKUP($C42,P_List_Table_2,14,FALSE),VLOOKUP($C42,P_List_Table_2,13,FALSE),-PV(VLOOKUP($C42,P_List_Table_2,10,FALSE)/12,(VLOOKUP($C42,P_List_Table_2,15,FALSE)-VLOOKUP($C42,P_List_Table_2,14,FALSE)-D$3+VLOOKUP($C42,P_List_Table_2,14,FALSE))*12,D43/12)))</f>
        <v/>
      </c>
      <c r="E44" s="51" t="str">
        <f t="shared" si="27"/>
        <v/>
      </c>
      <c r="F44" s="51" t="str">
        <f t="shared" si="27"/>
        <v/>
      </c>
      <c r="G44" s="51" t="str">
        <f t="shared" si="27"/>
        <v/>
      </c>
      <c r="H44" s="51" t="str">
        <f t="shared" si="27"/>
        <v/>
      </c>
      <c r="I44" s="51" t="str">
        <f t="shared" si="27"/>
        <v/>
      </c>
      <c r="J44" s="51" t="str">
        <f t="shared" si="27"/>
        <v/>
      </c>
      <c r="K44" s="51" t="str">
        <f t="shared" si="27"/>
        <v/>
      </c>
      <c r="L44" s="51" t="str">
        <f t="shared" si="27"/>
        <v/>
      </c>
      <c r="M44" s="51" t="str">
        <f t="shared" si="27"/>
        <v/>
      </c>
      <c r="N44" s="51" t="str">
        <f t="shared" si="27"/>
        <v/>
      </c>
      <c r="O44" s="51" t="str">
        <f t="shared" si="27"/>
        <v/>
      </c>
      <c r="P44" s="51" t="str">
        <f t="shared" si="27"/>
        <v/>
      </c>
      <c r="Q44" s="51" t="str">
        <f t="shared" si="27"/>
        <v/>
      </c>
      <c r="R44" s="51" t="str">
        <f t="shared" si="27"/>
        <v/>
      </c>
    </row>
    <row r="45" spans="2:18" outlineLevel="1" collapsed="1" x14ac:dyDescent="0.25">
      <c r="B45" s="11" t="str">
        <f>IF(OR(B42=Number_Properties,B42=""),"",B42+1)</f>
        <v/>
      </c>
      <c r="C45" s="11" t="str">
        <f>IF(B45="","",VLOOKUP(B45,P_List_Table,2,FALSE))</f>
        <v/>
      </c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</row>
    <row r="46" spans="2:18" outlineLevel="1" x14ac:dyDescent="0.25">
      <c r="B46" s="56" t="str">
        <f>C45&amp;C46</f>
        <v/>
      </c>
      <c r="C46" s="18" t="str">
        <f>IF(C45="","","Debt Service")</f>
        <v/>
      </c>
      <c r="D46" s="51" t="str">
        <f t="shared" ref="D46:R46" si="28">IF($C45="","",IF(VLOOKUP($C45,P_List_Table_2,14,FALSE)&lt;D$3,VLOOKUP($C45,P_List_Table_2,11,FALSE),VLOOKUP($C45,P_List_Table_2,12,FALSE)))</f>
        <v/>
      </c>
      <c r="E46" s="51" t="str">
        <f t="shared" si="28"/>
        <v/>
      </c>
      <c r="F46" s="51" t="str">
        <f t="shared" si="28"/>
        <v/>
      </c>
      <c r="G46" s="51" t="str">
        <f t="shared" si="28"/>
        <v/>
      </c>
      <c r="H46" s="51" t="str">
        <f t="shared" si="28"/>
        <v/>
      </c>
      <c r="I46" s="51" t="str">
        <f t="shared" si="28"/>
        <v/>
      </c>
      <c r="J46" s="51" t="str">
        <f t="shared" si="28"/>
        <v/>
      </c>
      <c r="K46" s="51" t="str">
        <f t="shared" si="28"/>
        <v/>
      </c>
      <c r="L46" s="51" t="str">
        <f t="shared" si="28"/>
        <v/>
      </c>
      <c r="M46" s="51" t="str">
        <f t="shared" si="28"/>
        <v/>
      </c>
      <c r="N46" s="51" t="str">
        <f t="shared" si="28"/>
        <v/>
      </c>
      <c r="O46" s="51" t="str">
        <f t="shared" si="28"/>
        <v/>
      </c>
      <c r="P46" s="51" t="str">
        <f t="shared" si="28"/>
        <v/>
      </c>
      <c r="Q46" s="51" t="str">
        <f t="shared" si="28"/>
        <v/>
      </c>
      <c r="R46" s="51" t="str">
        <f t="shared" si="28"/>
        <v/>
      </c>
    </row>
    <row r="47" spans="2:18" outlineLevel="1" x14ac:dyDescent="0.25">
      <c r="B47" s="56" t="str">
        <f>C45&amp;C47</f>
        <v/>
      </c>
      <c r="C47" s="18" t="str">
        <f>IF(C45="","","Loan Balance")</f>
        <v/>
      </c>
      <c r="D47" s="51" t="str">
        <f t="shared" ref="D47:R47" si="29">IF($C45="","",IF(D$3&lt;=VLOOKUP($C45,P_List_Table_2,14,FALSE),VLOOKUP($C45,P_List_Table_2,13,FALSE),-PV(VLOOKUP($C45,P_List_Table_2,10,FALSE)/12,(VLOOKUP($C45,P_List_Table_2,15,FALSE)-VLOOKUP($C45,P_List_Table_2,14,FALSE)-D$3+VLOOKUP($C45,P_List_Table_2,14,FALSE))*12,D46/12)))</f>
        <v/>
      </c>
      <c r="E47" s="51" t="str">
        <f t="shared" si="29"/>
        <v/>
      </c>
      <c r="F47" s="51" t="str">
        <f t="shared" si="29"/>
        <v/>
      </c>
      <c r="G47" s="51" t="str">
        <f t="shared" si="29"/>
        <v/>
      </c>
      <c r="H47" s="51" t="str">
        <f t="shared" si="29"/>
        <v/>
      </c>
      <c r="I47" s="51" t="str">
        <f t="shared" si="29"/>
        <v/>
      </c>
      <c r="J47" s="51" t="str">
        <f t="shared" si="29"/>
        <v/>
      </c>
      <c r="K47" s="51" t="str">
        <f t="shared" si="29"/>
        <v/>
      </c>
      <c r="L47" s="51" t="str">
        <f t="shared" si="29"/>
        <v/>
      </c>
      <c r="M47" s="51" t="str">
        <f t="shared" si="29"/>
        <v/>
      </c>
      <c r="N47" s="51" t="str">
        <f t="shared" si="29"/>
        <v/>
      </c>
      <c r="O47" s="51" t="str">
        <f t="shared" si="29"/>
        <v/>
      </c>
      <c r="P47" s="51" t="str">
        <f t="shared" si="29"/>
        <v/>
      </c>
      <c r="Q47" s="51" t="str">
        <f t="shared" si="29"/>
        <v/>
      </c>
      <c r="R47" s="51" t="str">
        <f t="shared" si="29"/>
        <v/>
      </c>
    </row>
    <row r="48" spans="2:18" outlineLevel="1" collapsed="1" x14ac:dyDescent="0.25">
      <c r="B48" s="11" t="str">
        <f>IF(OR(B45=Number_Properties,B45=""),"",B45+1)</f>
        <v/>
      </c>
      <c r="C48" s="11" t="str">
        <f>IF(B48="","",VLOOKUP(B48,P_List_Table,2,FALSE))</f>
        <v/>
      </c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</row>
    <row r="49" spans="2:18" outlineLevel="1" x14ac:dyDescent="0.25">
      <c r="B49" s="56" t="str">
        <f>C48&amp;C49</f>
        <v/>
      </c>
      <c r="C49" s="18" t="str">
        <f>IF(C48="","","Debt Service")</f>
        <v/>
      </c>
      <c r="D49" s="51" t="str">
        <f t="shared" ref="D49:R49" si="30">IF($C48="","",IF(VLOOKUP($C48,P_List_Table_2,14,FALSE)&lt;D$3,VLOOKUP($C48,P_List_Table_2,11,FALSE),VLOOKUP($C48,P_List_Table_2,12,FALSE)))</f>
        <v/>
      </c>
      <c r="E49" s="51" t="str">
        <f t="shared" si="30"/>
        <v/>
      </c>
      <c r="F49" s="51" t="str">
        <f t="shared" si="30"/>
        <v/>
      </c>
      <c r="G49" s="51" t="str">
        <f t="shared" si="30"/>
        <v/>
      </c>
      <c r="H49" s="51" t="str">
        <f t="shared" si="30"/>
        <v/>
      </c>
      <c r="I49" s="51" t="str">
        <f t="shared" si="30"/>
        <v/>
      </c>
      <c r="J49" s="51" t="str">
        <f t="shared" si="30"/>
        <v/>
      </c>
      <c r="K49" s="51" t="str">
        <f t="shared" si="30"/>
        <v/>
      </c>
      <c r="L49" s="51" t="str">
        <f t="shared" si="30"/>
        <v/>
      </c>
      <c r="M49" s="51" t="str">
        <f t="shared" si="30"/>
        <v/>
      </c>
      <c r="N49" s="51" t="str">
        <f t="shared" si="30"/>
        <v/>
      </c>
      <c r="O49" s="51" t="str">
        <f t="shared" si="30"/>
        <v/>
      </c>
      <c r="P49" s="51" t="str">
        <f t="shared" si="30"/>
        <v/>
      </c>
      <c r="Q49" s="51" t="str">
        <f t="shared" si="30"/>
        <v/>
      </c>
      <c r="R49" s="51" t="str">
        <f t="shared" si="30"/>
        <v/>
      </c>
    </row>
    <row r="50" spans="2:18" outlineLevel="1" x14ac:dyDescent="0.25">
      <c r="B50" s="56" t="str">
        <f>C48&amp;C50</f>
        <v/>
      </c>
      <c r="C50" s="18" t="str">
        <f>IF(C48="","","Loan Balance")</f>
        <v/>
      </c>
      <c r="D50" s="51" t="str">
        <f t="shared" ref="D50:R50" si="31">IF($C48="","",IF(D$3&lt;=VLOOKUP($C48,P_List_Table_2,14,FALSE),VLOOKUP($C48,P_List_Table_2,13,FALSE),-PV(VLOOKUP($C48,P_List_Table_2,10,FALSE)/12,(VLOOKUP($C48,P_List_Table_2,15,FALSE)-VLOOKUP($C48,P_List_Table_2,14,FALSE)-D$3+VLOOKUP($C48,P_List_Table_2,14,FALSE))*12,D49/12)))</f>
        <v/>
      </c>
      <c r="E50" s="51" t="str">
        <f t="shared" si="31"/>
        <v/>
      </c>
      <c r="F50" s="51" t="str">
        <f t="shared" si="31"/>
        <v/>
      </c>
      <c r="G50" s="51" t="str">
        <f t="shared" si="31"/>
        <v/>
      </c>
      <c r="H50" s="51" t="str">
        <f t="shared" si="31"/>
        <v/>
      </c>
      <c r="I50" s="51" t="str">
        <f t="shared" si="31"/>
        <v/>
      </c>
      <c r="J50" s="51" t="str">
        <f t="shared" si="31"/>
        <v/>
      </c>
      <c r="K50" s="51" t="str">
        <f t="shared" si="31"/>
        <v/>
      </c>
      <c r="L50" s="51" t="str">
        <f t="shared" si="31"/>
        <v/>
      </c>
      <c r="M50" s="51" t="str">
        <f t="shared" si="31"/>
        <v/>
      </c>
      <c r="N50" s="51" t="str">
        <f t="shared" si="31"/>
        <v/>
      </c>
      <c r="O50" s="51" t="str">
        <f t="shared" si="31"/>
        <v/>
      </c>
      <c r="P50" s="51" t="str">
        <f t="shared" si="31"/>
        <v/>
      </c>
      <c r="Q50" s="51" t="str">
        <f t="shared" si="31"/>
        <v/>
      </c>
      <c r="R50" s="51" t="str">
        <f t="shared" si="31"/>
        <v/>
      </c>
    </row>
    <row r="51" spans="2:18" outlineLevel="1" collapsed="1" x14ac:dyDescent="0.25">
      <c r="B51" s="11" t="str">
        <f>IF(OR(B48=Number_Properties,B48=""),"",B48+1)</f>
        <v/>
      </c>
      <c r="C51" s="11" t="str">
        <f>IF(B51="","",VLOOKUP(B51,P_List_Table,2,FALSE))</f>
        <v/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</row>
    <row r="52" spans="2:18" outlineLevel="1" x14ac:dyDescent="0.25">
      <c r="B52" s="56" t="str">
        <f>C51&amp;C52</f>
        <v/>
      </c>
      <c r="C52" s="18" t="str">
        <f>IF(C51="","","Debt Service")</f>
        <v/>
      </c>
      <c r="D52" s="51" t="str">
        <f t="shared" ref="D52:R52" si="32">IF($C51="","",IF(VLOOKUP($C51,P_List_Table_2,14,FALSE)&lt;D$3,VLOOKUP($C51,P_List_Table_2,11,FALSE),VLOOKUP($C51,P_List_Table_2,12,FALSE)))</f>
        <v/>
      </c>
      <c r="E52" s="51" t="str">
        <f t="shared" si="32"/>
        <v/>
      </c>
      <c r="F52" s="51" t="str">
        <f t="shared" si="32"/>
        <v/>
      </c>
      <c r="G52" s="51" t="str">
        <f t="shared" si="32"/>
        <v/>
      </c>
      <c r="H52" s="51" t="str">
        <f t="shared" si="32"/>
        <v/>
      </c>
      <c r="I52" s="51" t="str">
        <f t="shared" si="32"/>
        <v/>
      </c>
      <c r="J52" s="51" t="str">
        <f t="shared" si="32"/>
        <v/>
      </c>
      <c r="K52" s="51" t="str">
        <f t="shared" si="32"/>
        <v/>
      </c>
      <c r="L52" s="51" t="str">
        <f t="shared" si="32"/>
        <v/>
      </c>
      <c r="M52" s="51" t="str">
        <f t="shared" si="32"/>
        <v/>
      </c>
      <c r="N52" s="51" t="str">
        <f t="shared" si="32"/>
        <v/>
      </c>
      <c r="O52" s="51" t="str">
        <f t="shared" si="32"/>
        <v/>
      </c>
      <c r="P52" s="51" t="str">
        <f t="shared" si="32"/>
        <v/>
      </c>
      <c r="Q52" s="51" t="str">
        <f t="shared" si="32"/>
        <v/>
      </c>
      <c r="R52" s="51" t="str">
        <f t="shared" si="32"/>
        <v/>
      </c>
    </row>
    <row r="53" spans="2:18" outlineLevel="1" x14ac:dyDescent="0.25">
      <c r="B53" s="56" t="str">
        <f>C51&amp;C53</f>
        <v/>
      </c>
      <c r="C53" s="18" t="str">
        <f>IF(C51="","","Loan Balance")</f>
        <v/>
      </c>
      <c r="D53" s="51" t="str">
        <f t="shared" ref="D53:R53" si="33">IF($C51="","",IF(D$3&lt;=VLOOKUP($C51,P_List_Table_2,14,FALSE),VLOOKUP($C51,P_List_Table_2,13,FALSE),-PV(VLOOKUP($C51,P_List_Table_2,10,FALSE)/12,(VLOOKUP($C51,P_List_Table_2,15,FALSE)-VLOOKUP($C51,P_List_Table_2,14,FALSE)-D$3+VLOOKUP($C51,P_List_Table_2,14,FALSE))*12,D52/12)))</f>
        <v/>
      </c>
      <c r="E53" s="51" t="str">
        <f t="shared" si="33"/>
        <v/>
      </c>
      <c r="F53" s="51" t="str">
        <f t="shared" si="33"/>
        <v/>
      </c>
      <c r="G53" s="51" t="str">
        <f t="shared" si="33"/>
        <v/>
      </c>
      <c r="H53" s="51" t="str">
        <f t="shared" si="33"/>
        <v/>
      </c>
      <c r="I53" s="51" t="str">
        <f t="shared" si="33"/>
        <v/>
      </c>
      <c r="J53" s="51" t="str">
        <f t="shared" si="33"/>
        <v/>
      </c>
      <c r="K53" s="51" t="str">
        <f t="shared" si="33"/>
        <v/>
      </c>
      <c r="L53" s="51" t="str">
        <f t="shared" si="33"/>
        <v/>
      </c>
      <c r="M53" s="51" t="str">
        <f t="shared" si="33"/>
        <v/>
      </c>
      <c r="N53" s="51" t="str">
        <f t="shared" si="33"/>
        <v/>
      </c>
      <c r="O53" s="51" t="str">
        <f t="shared" si="33"/>
        <v/>
      </c>
      <c r="P53" s="51" t="str">
        <f t="shared" si="33"/>
        <v/>
      </c>
      <c r="Q53" s="51" t="str">
        <f t="shared" si="33"/>
        <v/>
      </c>
      <c r="R53" s="51" t="str">
        <f t="shared" si="33"/>
        <v/>
      </c>
    </row>
    <row r="54" spans="2:18" outlineLevel="1" collapsed="1" x14ac:dyDescent="0.25">
      <c r="B54" s="11" t="str">
        <f>IF(OR(B51=Number_Properties,B51=""),"",B51+1)</f>
        <v/>
      </c>
      <c r="C54" s="11" t="str">
        <f>IF(B54="","",VLOOKUP(B54,P_List_Table,2,FALSE))</f>
        <v/>
      </c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</row>
    <row r="55" spans="2:18" outlineLevel="1" x14ac:dyDescent="0.25">
      <c r="B55" s="56" t="str">
        <f>C54&amp;C55</f>
        <v/>
      </c>
      <c r="C55" s="18" t="str">
        <f>IF(C54="","","Debt Service")</f>
        <v/>
      </c>
      <c r="D55" s="51" t="str">
        <f t="shared" ref="D55:R55" si="34">IF($C54="","",IF(VLOOKUP($C54,P_List_Table_2,14,FALSE)&lt;D$3,VLOOKUP($C54,P_List_Table_2,11,FALSE),VLOOKUP($C54,P_List_Table_2,12,FALSE)))</f>
        <v/>
      </c>
      <c r="E55" s="51" t="str">
        <f t="shared" si="34"/>
        <v/>
      </c>
      <c r="F55" s="51" t="str">
        <f t="shared" si="34"/>
        <v/>
      </c>
      <c r="G55" s="51" t="str">
        <f t="shared" si="34"/>
        <v/>
      </c>
      <c r="H55" s="51" t="str">
        <f t="shared" si="34"/>
        <v/>
      </c>
      <c r="I55" s="51" t="str">
        <f t="shared" si="34"/>
        <v/>
      </c>
      <c r="J55" s="51" t="str">
        <f t="shared" si="34"/>
        <v/>
      </c>
      <c r="K55" s="51" t="str">
        <f t="shared" si="34"/>
        <v/>
      </c>
      <c r="L55" s="51" t="str">
        <f t="shared" si="34"/>
        <v/>
      </c>
      <c r="M55" s="51" t="str">
        <f t="shared" si="34"/>
        <v/>
      </c>
      <c r="N55" s="51" t="str">
        <f t="shared" si="34"/>
        <v/>
      </c>
      <c r="O55" s="51" t="str">
        <f t="shared" si="34"/>
        <v/>
      </c>
      <c r="P55" s="51" t="str">
        <f t="shared" si="34"/>
        <v/>
      </c>
      <c r="Q55" s="51" t="str">
        <f t="shared" si="34"/>
        <v/>
      </c>
      <c r="R55" s="51" t="str">
        <f t="shared" si="34"/>
        <v/>
      </c>
    </row>
    <row r="56" spans="2:18" outlineLevel="1" x14ac:dyDescent="0.25">
      <c r="B56" s="56" t="str">
        <f>C54&amp;C56</f>
        <v/>
      </c>
      <c r="C56" s="18" t="str">
        <f>IF(C54="","","Loan Balance")</f>
        <v/>
      </c>
      <c r="D56" s="51" t="str">
        <f t="shared" ref="D56:R56" si="35">IF($C54="","",IF(D$3&lt;=VLOOKUP($C54,P_List_Table_2,14,FALSE),VLOOKUP($C54,P_List_Table_2,13,FALSE),-PV(VLOOKUP($C54,P_List_Table_2,10,FALSE)/12,(VLOOKUP($C54,P_List_Table_2,15,FALSE)-VLOOKUP($C54,P_List_Table_2,14,FALSE)-D$3+VLOOKUP($C54,P_List_Table_2,14,FALSE))*12,D55/12)))</f>
        <v/>
      </c>
      <c r="E56" s="51" t="str">
        <f t="shared" si="35"/>
        <v/>
      </c>
      <c r="F56" s="51" t="str">
        <f t="shared" si="35"/>
        <v/>
      </c>
      <c r="G56" s="51" t="str">
        <f t="shared" si="35"/>
        <v/>
      </c>
      <c r="H56" s="51" t="str">
        <f t="shared" si="35"/>
        <v/>
      </c>
      <c r="I56" s="51" t="str">
        <f t="shared" si="35"/>
        <v/>
      </c>
      <c r="J56" s="51" t="str">
        <f t="shared" si="35"/>
        <v/>
      </c>
      <c r="K56" s="51" t="str">
        <f t="shared" si="35"/>
        <v/>
      </c>
      <c r="L56" s="51" t="str">
        <f t="shared" si="35"/>
        <v/>
      </c>
      <c r="M56" s="51" t="str">
        <f t="shared" si="35"/>
        <v/>
      </c>
      <c r="N56" s="51" t="str">
        <f t="shared" si="35"/>
        <v/>
      </c>
      <c r="O56" s="51" t="str">
        <f t="shared" si="35"/>
        <v/>
      </c>
      <c r="P56" s="51" t="str">
        <f t="shared" si="35"/>
        <v/>
      </c>
      <c r="Q56" s="51" t="str">
        <f t="shared" si="35"/>
        <v/>
      </c>
      <c r="R56" s="51" t="str">
        <f t="shared" si="35"/>
        <v/>
      </c>
    </row>
    <row r="57" spans="2:18" outlineLevel="1" collapsed="1" x14ac:dyDescent="0.25">
      <c r="B57" s="11" t="str">
        <f>IF(OR(B54=Number_Properties,B54=""),"",B54+1)</f>
        <v/>
      </c>
      <c r="C57" s="11" t="str">
        <f>IF(B57="","",VLOOKUP(B57,P_List_Table,2,FALSE))</f>
        <v/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</row>
    <row r="58" spans="2:18" outlineLevel="1" x14ac:dyDescent="0.25">
      <c r="B58" s="56" t="str">
        <f>C57&amp;C58</f>
        <v/>
      </c>
      <c r="C58" s="18" t="str">
        <f>IF(C57="","","Debt Service")</f>
        <v/>
      </c>
      <c r="D58" s="51" t="str">
        <f t="shared" ref="D58:R58" si="36">IF($C57="","",IF(VLOOKUP($C57,P_List_Table_2,14,FALSE)&lt;D$3,VLOOKUP($C57,P_List_Table_2,11,FALSE),VLOOKUP($C57,P_List_Table_2,12,FALSE)))</f>
        <v/>
      </c>
      <c r="E58" s="51" t="str">
        <f t="shared" si="36"/>
        <v/>
      </c>
      <c r="F58" s="51" t="str">
        <f t="shared" si="36"/>
        <v/>
      </c>
      <c r="G58" s="51" t="str">
        <f t="shared" si="36"/>
        <v/>
      </c>
      <c r="H58" s="51" t="str">
        <f t="shared" si="36"/>
        <v/>
      </c>
      <c r="I58" s="51" t="str">
        <f t="shared" si="36"/>
        <v/>
      </c>
      <c r="J58" s="51" t="str">
        <f t="shared" si="36"/>
        <v/>
      </c>
      <c r="K58" s="51" t="str">
        <f t="shared" si="36"/>
        <v/>
      </c>
      <c r="L58" s="51" t="str">
        <f t="shared" si="36"/>
        <v/>
      </c>
      <c r="M58" s="51" t="str">
        <f t="shared" si="36"/>
        <v/>
      </c>
      <c r="N58" s="51" t="str">
        <f t="shared" si="36"/>
        <v/>
      </c>
      <c r="O58" s="51" t="str">
        <f t="shared" si="36"/>
        <v/>
      </c>
      <c r="P58" s="51" t="str">
        <f t="shared" si="36"/>
        <v/>
      </c>
      <c r="Q58" s="51" t="str">
        <f t="shared" si="36"/>
        <v/>
      </c>
      <c r="R58" s="51" t="str">
        <f t="shared" si="36"/>
        <v/>
      </c>
    </row>
    <row r="59" spans="2:18" outlineLevel="1" x14ac:dyDescent="0.25">
      <c r="B59" s="56" t="str">
        <f>C57&amp;C59</f>
        <v/>
      </c>
      <c r="C59" s="18" t="str">
        <f>IF(C57="","","Loan Balance")</f>
        <v/>
      </c>
      <c r="D59" s="51" t="str">
        <f t="shared" ref="D59:R59" si="37">IF($C57="","",IF(D$3&lt;=VLOOKUP($C57,P_List_Table_2,14,FALSE),VLOOKUP($C57,P_List_Table_2,13,FALSE),-PV(VLOOKUP($C57,P_List_Table_2,10,FALSE)/12,(VLOOKUP($C57,P_List_Table_2,15,FALSE)-VLOOKUP($C57,P_List_Table_2,14,FALSE)-D$3+VLOOKUP($C57,P_List_Table_2,14,FALSE))*12,D58/12)))</f>
        <v/>
      </c>
      <c r="E59" s="51" t="str">
        <f t="shared" si="37"/>
        <v/>
      </c>
      <c r="F59" s="51" t="str">
        <f t="shared" si="37"/>
        <v/>
      </c>
      <c r="G59" s="51" t="str">
        <f t="shared" si="37"/>
        <v/>
      </c>
      <c r="H59" s="51" t="str">
        <f t="shared" si="37"/>
        <v/>
      </c>
      <c r="I59" s="51" t="str">
        <f t="shared" si="37"/>
        <v/>
      </c>
      <c r="J59" s="51" t="str">
        <f t="shared" si="37"/>
        <v/>
      </c>
      <c r="K59" s="51" t="str">
        <f t="shared" si="37"/>
        <v/>
      </c>
      <c r="L59" s="51" t="str">
        <f t="shared" si="37"/>
        <v/>
      </c>
      <c r="M59" s="51" t="str">
        <f t="shared" si="37"/>
        <v/>
      </c>
      <c r="N59" s="51" t="str">
        <f t="shared" si="37"/>
        <v/>
      </c>
      <c r="O59" s="51" t="str">
        <f t="shared" si="37"/>
        <v/>
      </c>
      <c r="P59" s="51" t="str">
        <f t="shared" si="37"/>
        <v/>
      </c>
      <c r="Q59" s="51" t="str">
        <f t="shared" si="37"/>
        <v/>
      </c>
      <c r="R59" s="51" t="str">
        <f t="shared" si="37"/>
        <v/>
      </c>
    </row>
    <row r="60" spans="2:18" outlineLevel="1" collapsed="1" x14ac:dyDescent="0.25">
      <c r="B60" s="11" t="str">
        <f>IF(OR(B57=Number_Properties,B57=""),"",B57+1)</f>
        <v/>
      </c>
      <c r="C60" s="11" t="str">
        <f>IF(B60="","",VLOOKUP(B60,P_List_Table,2,FALSE))</f>
        <v/>
      </c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</row>
    <row r="61" spans="2:18" outlineLevel="1" x14ac:dyDescent="0.25">
      <c r="B61" s="56" t="str">
        <f>C60&amp;C61</f>
        <v/>
      </c>
      <c r="C61" s="18" t="str">
        <f>IF(C60="","","Debt Service")</f>
        <v/>
      </c>
      <c r="D61" s="51" t="str">
        <f t="shared" ref="D61:R61" si="38">IF($C60="","",IF(VLOOKUP($C60,P_List_Table_2,14,FALSE)&lt;D$3,VLOOKUP($C60,P_List_Table_2,11,FALSE),VLOOKUP($C60,P_List_Table_2,12,FALSE)))</f>
        <v/>
      </c>
      <c r="E61" s="51" t="str">
        <f t="shared" si="38"/>
        <v/>
      </c>
      <c r="F61" s="51" t="str">
        <f t="shared" si="38"/>
        <v/>
      </c>
      <c r="G61" s="51" t="str">
        <f t="shared" si="38"/>
        <v/>
      </c>
      <c r="H61" s="51" t="str">
        <f t="shared" si="38"/>
        <v/>
      </c>
      <c r="I61" s="51" t="str">
        <f t="shared" si="38"/>
        <v/>
      </c>
      <c r="J61" s="51" t="str">
        <f t="shared" si="38"/>
        <v/>
      </c>
      <c r="K61" s="51" t="str">
        <f t="shared" si="38"/>
        <v/>
      </c>
      <c r="L61" s="51" t="str">
        <f t="shared" si="38"/>
        <v/>
      </c>
      <c r="M61" s="51" t="str">
        <f t="shared" si="38"/>
        <v/>
      </c>
      <c r="N61" s="51" t="str">
        <f t="shared" si="38"/>
        <v/>
      </c>
      <c r="O61" s="51" t="str">
        <f t="shared" si="38"/>
        <v/>
      </c>
      <c r="P61" s="51" t="str">
        <f t="shared" si="38"/>
        <v/>
      </c>
      <c r="Q61" s="51" t="str">
        <f t="shared" si="38"/>
        <v/>
      </c>
      <c r="R61" s="51" t="str">
        <f t="shared" si="38"/>
        <v/>
      </c>
    </row>
    <row r="62" spans="2:18" outlineLevel="1" x14ac:dyDescent="0.25">
      <c r="B62" s="56" t="str">
        <f>C60&amp;C62</f>
        <v/>
      </c>
      <c r="C62" s="18" t="str">
        <f>IF(C60="","","Loan Balance")</f>
        <v/>
      </c>
      <c r="D62" s="51" t="str">
        <f t="shared" ref="D62:R62" si="39">IF($C60="","",IF(D$3&lt;=VLOOKUP($C60,P_List_Table_2,14,FALSE),VLOOKUP($C60,P_List_Table_2,13,FALSE),-PV(VLOOKUP($C60,P_List_Table_2,10,FALSE)/12,(VLOOKUP($C60,P_List_Table_2,15,FALSE)-VLOOKUP($C60,P_List_Table_2,14,FALSE)-D$3+VLOOKUP($C60,P_List_Table_2,14,FALSE))*12,D61/12)))</f>
        <v/>
      </c>
      <c r="E62" s="51" t="str">
        <f t="shared" si="39"/>
        <v/>
      </c>
      <c r="F62" s="51" t="str">
        <f t="shared" si="39"/>
        <v/>
      </c>
      <c r="G62" s="51" t="str">
        <f t="shared" si="39"/>
        <v/>
      </c>
      <c r="H62" s="51" t="str">
        <f t="shared" si="39"/>
        <v/>
      </c>
      <c r="I62" s="51" t="str">
        <f t="shared" si="39"/>
        <v/>
      </c>
      <c r="J62" s="51" t="str">
        <f t="shared" si="39"/>
        <v/>
      </c>
      <c r="K62" s="51" t="str">
        <f t="shared" si="39"/>
        <v/>
      </c>
      <c r="L62" s="51" t="str">
        <f t="shared" si="39"/>
        <v/>
      </c>
      <c r="M62" s="51" t="str">
        <f t="shared" si="39"/>
        <v/>
      </c>
      <c r="N62" s="51" t="str">
        <f t="shared" si="39"/>
        <v/>
      </c>
      <c r="O62" s="51" t="str">
        <f t="shared" si="39"/>
        <v/>
      </c>
      <c r="P62" s="51" t="str">
        <f t="shared" si="39"/>
        <v/>
      </c>
      <c r="Q62" s="51" t="str">
        <f t="shared" si="39"/>
        <v/>
      </c>
      <c r="R62" s="51" t="str">
        <f t="shared" si="39"/>
        <v/>
      </c>
    </row>
    <row r="63" spans="2:18" outlineLevel="1" collapsed="1" x14ac:dyDescent="0.25">
      <c r="B63" s="11" t="str">
        <f>IF(OR(B60=Number_Properties,B60=""),"",B60+1)</f>
        <v/>
      </c>
      <c r="C63" s="11" t="str">
        <f>IF(B63="","",VLOOKUP(B63,P_List_Table,2,FALSE))</f>
        <v/>
      </c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</row>
    <row r="64" spans="2:18" outlineLevel="1" x14ac:dyDescent="0.25">
      <c r="B64" s="56" t="str">
        <f>C63&amp;C64</f>
        <v/>
      </c>
      <c r="C64" s="18" t="str">
        <f>IF(C63="","","Debt Service")</f>
        <v/>
      </c>
      <c r="D64" s="51" t="str">
        <f t="shared" ref="D64:R64" si="40">IF($C63="","",IF(VLOOKUP($C63,P_List_Table_2,14,FALSE)&lt;D$3,VLOOKUP($C63,P_List_Table_2,11,FALSE),VLOOKUP($C63,P_List_Table_2,12,FALSE)))</f>
        <v/>
      </c>
      <c r="E64" s="51" t="str">
        <f t="shared" si="40"/>
        <v/>
      </c>
      <c r="F64" s="51" t="str">
        <f t="shared" si="40"/>
        <v/>
      </c>
      <c r="G64" s="51" t="str">
        <f t="shared" si="40"/>
        <v/>
      </c>
      <c r="H64" s="51" t="str">
        <f t="shared" si="40"/>
        <v/>
      </c>
      <c r="I64" s="51" t="str">
        <f t="shared" si="40"/>
        <v/>
      </c>
      <c r="J64" s="51" t="str">
        <f t="shared" si="40"/>
        <v/>
      </c>
      <c r="K64" s="51" t="str">
        <f t="shared" si="40"/>
        <v/>
      </c>
      <c r="L64" s="51" t="str">
        <f t="shared" si="40"/>
        <v/>
      </c>
      <c r="M64" s="51" t="str">
        <f t="shared" si="40"/>
        <v/>
      </c>
      <c r="N64" s="51" t="str">
        <f t="shared" si="40"/>
        <v/>
      </c>
      <c r="O64" s="51" t="str">
        <f t="shared" si="40"/>
        <v/>
      </c>
      <c r="P64" s="51" t="str">
        <f t="shared" si="40"/>
        <v/>
      </c>
      <c r="Q64" s="51" t="str">
        <f t="shared" si="40"/>
        <v/>
      </c>
      <c r="R64" s="51" t="str">
        <f t="shared" si="40"/>
        <v/>
      </c>
    </row>
    <row r="65" spans="2:18" outlineLevel="1" x14ac:dyDescent="0.25">
      <c r="B65" s="56" t="str">
        <f>C63&amp;C65</f>
        <v/>
      </c>
      <c r="C65" s="18" t="str">
        <f>IF(C63="","","Loan Balance")</f>
        <v/>
      </c>
      <c r="D65" s="51" t="str">
        <f t="shared" ref="D65:R65" si="41">IF($C63="","",IF(D$3&lt;=VLOOKUP($C63,P_List_Table_2,14,FALSE),VLOOKUP($C63,P_List_Table_2,13,FALSE),-PV(VLOOKUP($C63,P_List_Table_2,10,FALSE)/12,(VLOOKUP($C63,P_List_Table_2,15,FALSE)-VLOOKUP($C63,P_List_Table_2,14,FALSE)-D$3+VLOOKUP($C63,P_List_Table_2,14,FALSE))*12,D64/12)))</f>
        <v/>
      </c>
      <c r="E65" s="51" t="str">
        <f t="shared" si="41"/>
        <v/>
      </c>
      <c r="F65" s="51" t="str">
        <f t="shared" si="41"/>
        <v/>
      </c>
      <c r="G65" s="51" t="str">
        <f t="shared" si="41"/>
        <v/>
      </c>
      <c r="H65" s="51" t="str">
        <f t="shared" si="41"/>
        <v/>
      </c>
      <c r="I65" s="51" t="str">
        <f t="shared" si="41"/>
        <v/>
      </c>
      <c r="J65" s="51" t="str">
        <f t="shared" si="41"/>
        <v/>
      </c>
      <c r="K65" s="51" t="str">
        <f t="shared" si="41"/>
        <v/>
      </c>
      <c r="L65" s="51" t="str">
        <f t="shared" si="41"/>
        <v/>
      </c>
      <c r="M65" s="51" t="str">
        <f t="shared" si="41"/>
        <v/>
      </c>
      <c r="N65" s="51" t="str">
        <f t="shared" si="41"/>
        <v/>
      </c>
      <c r="O65" s="51" t="str">
        <f t="shared" si="41"/>
        <v/>
      </c>
      <c r="P65" s="51" t="str">
        <f t="shared" si="41"/>
        <v/>
      </c>
      <c r="Q65" s="51" t="str">
        <f t="shared" si="41"/>
        <v/>
      </c>
      <c r="R65" s="51" t="str">
        <f t="shared" si="41"/>
        <v/>
      </c>
    </row>
    <row r="66" spans="2:18" outlineLevel="1" collapsed="1" x14ac:dyDescent="0.25">
      <c r="B66" s="11" t="str">
        <f>IF(OR(B63=Number_Properties,B63=""),"",B63+1)</f>
        <v/>
      </c>
      <c r="C66" s="11" t="str">
        <f>IF(B66="","",VLOOKUP(B66,P_List_Table,2,FALSE))</f>
        <v/>
      </c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</row>
    <row r="67" spans="2:18" outlineLevel="1" x14ac:dyDescent="0.25">
      <c r="B67" s="56" t="str">
        <f>C66&amp;C67</f>
        <v/>
      </c>
      <c r="C67" s="18" t="str">
        <f>IF(C66="","","Debt Service")</f>
        <v/>
      </c>
      <c r="D67" s="51" t="str">
        <f t="shared" ref="D67:R67" si="42">IF($C66="","",IF(VLOOKUP($C66,P_List_Table_2,14,FALSE)&lt;D$3,VLOOKUP($C66,P_List_Table_2,11,FALSE),VLOOKUP($C66,P_List_Table_2,12,FALSE)))</f>
        <v/>
      </c>
      <c r="E67" s="51" t="str">
        <f t="shared" si="42"/>
        <v/>
      </c>
      <c r="F67" s="51" t="str">
        <f t="shared" si="42"/>
        <v/>
      </c>
      <c r="G67" s="51" t="str">
        <f t="shared" si="42"/>
        <v/>
      </c>
      <c r="H67" s="51" t="str">
        <f t="shared" si="42"/>
        <v/>
      </c>
      <c r="I67" s="51" t="str">
        <f t="shared" si="42"/>
        <v/>
      </c>
      <c r="J67" s="51" t="str">
        <f t="shared" si="42"/>
        <v/>
      </c>
      <c r="K67" s="51" t="str">
        <f t="shared" si="42"/>
        <v/>
      </c>
      <c r="L67" s="51" t="str">
        <f t="shared" si="42"/>
        <v/>
      </c>
      <c r="M67" s="51" t="str">
        <f t="shared" si="42"/>
        <v/>
      </c>
      <c r="N67" s="51" t="str">
        <f t="shared" si="42"/>
        <v/>
      </c>
      <c r="O67" s="51" t="str">
        <f t="shared" si="42"/>
        <v/>
      </c>
      <c r="P67" s="51" t="str">
        <f t="shared" si="42"/>
        <v/>
      </c>
      <c r="Q67" s="51" t="str">
        <f t="shared" si="42"/>
        <v/>
      </c>
      <c r="R67" s="51" t="str">
        <f t="shared" si="42"/>
        <v/>
      </c>
    </row>
    <row r="68" spans="2:18" outlineLevel="1" x14ac:dyDescent="0.25">
      <c r="B68" s="56" t="str">
        <f>C66&amp;C68</f>
        <v/>
      </c>
      <c r="C68" s="18" t="str">
        <f>IF(C66="","","Loan Balance")</f>
        <v/>
      </c>
      <c r="D68" s="51" t="str">
        <f t="shared" ref="D68:R68" si="43">IF($C66="","",IF(D$3&lt;=VLOOKUP($C66,P_List_Table_2,14,FALSE),VLOOKUP($C66,P_List_Table_2,13,FALSE),-PV(VLOOKUP($C66,P_List_Table_2,10,FALSE)/12,(VLOOKUP($C66,P_List_Table_2,15,FALSE)-VLOOKUP($C66,P_List_Table_2,14,FALSE)-D$3+VLOOKUP($C66,P_List_Table_2,14,FALSE))*12,D67/12)))</f>
        <v/>
      </c>
      <c r="E68" s="51" t="str">
        <f t="shared" si="43"/>
        <v/>
      </c>
      <c r="F68" s="51" t="str">
        <f t="shared" si="43"/>
        <v/>
      </c>
      <c r="G68" s="51" t="str">
        <f t="shared" si="43"/>
        <v/>
      </c>
      <c r="H68" s="51" t="str">
        <f t="shared" si="43"/>
        <v/>
      </c>
      <c r="I68" s="51" t="str">
        <f t="shared" si="43"/>
        <v/>
      </c>
      <c r="J68" s="51" t="str">
        <f t="shared" si="43"/>
        <v/>
      </c>
      <c r="K68" s="51" t="str">
        <f t="shared" si="43"/>
        <v/>
      </c>
      <c r="L68" s="51" t="str">
        <f t="shared" si="43"/>
        <v/>
      </c>
      <c r="M68" s="51" t="str">
        <f t="shared" si="43"/>
        <v/>
      </c>
      <c r="N68" s="51" t="str">
        <f t="shared" si="43"/>
        <v/>
      </c>
      <c r="O68" s="51" t="str">
        <f t="shared" si="43"/>
        <v/>
      </c>
      <c r="P68" s="51" t="str">
        <f t="shared" si="43"/>
        <v/>
      </c>
      <c r="Q68" s="51" t="str">
        <f t="shared" si="43"/>
        <v/>
      </c>
      <c r="R68" s="51" t="str">
        <f t="shared" si="43"/>
        <v/>
      </c>
    </row>
    <row r="69" spans="2:18" outlineLevel="1" collapsed="1" x14ac:dyDescent="0.25">
      <c r="B69" s="11" t="str">
        <f>IF(OR(B66=Number_Properties,B66=""),"",B66+1)</f>
        <v/>
      </c>
      <c r="C69" s="11" t="str">
        <f>IF(B69="","",VLOOKUP(B69,P_List_Table,2,FALSE))</f>
        <v/>
      </c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</row>
    <row r="70" spans="2:18" outlineLevel="1" x14ac:dyDescent="0.25">
      <c r="B70" s="56" t="str">
        <f>C69&amp;C70</f>
        <v/>
      </c>
      <c r="C70" s="18" t="str">
        <f>IF(C69="","","Debt Service")</f>
        <v/>
      </c>
      <c r="D70" s="51" t="str">
        <f t="shared" ref="D70:R70" si="44">IF($C69="","",IF(VLOOKUP($C69,P_List_Table_2,14,FALSE)&lt;D$3,VLOOKUP($C69,P_List_Table_2,11,FALSE),VLOOKUP($C69,P_List_Table_2,12,FALSE)))</f>
        <v/>
      </c>
      <c r="E70" s="51" t="str">
        <f t="shared" si="44"/>
        <v/>
      </c>
      <c r="F70" s="51" t="str">
        <f t="shared" si="44"/>
        <v/>
      </c>
      <c r="G70" s="51" t="str">
        <f t="shared" si="44"/>
        <v/>
      </c>
      <c r="H70" s="51" t="str">
        <f t="shared" si="44"/>
        <v/>
      </c>
      <c r="I70" s="51" t="str">
        <f t="shared" si="44"/>
        <v/>
      </c>
      <c r="J70" s="51" t="str">
        <f t="shared" si="44"/>
        <v/>
      </c>
      <c r="K70" s="51" t="str">
        <f t="shared" si="44"/>
        <v/>
      </c>
      <c r="L70" s="51" t="str">
        <f t="shared" si="44"/>
        <v/>
      </c>
      <c r="M70" s="51" t="str">
        <f t="shared" si="44"/>
        <v/>
      </c>
      <c r="N70" s="51" t="str">
        <f t="shared" si="44"/>
        <v/>
      </c>
      <c r="O70" s="51" t="str">
        <f t="shared" si="44"/>
        <v/>
      </c>
      <c r="P70" s="51" t="str">
        <f t="shared" si="44"/>
        <v/>
      </c>
      <c r="Q70" s="51" t="str">
        <f t="shared" si="44"/>
        <v/>
      </c>
      <c r="R70" s="51" t="str">
        <f t="shared" si="44"/>
        <v/>
      </c>
    </row>
    <row r="71" spans="2:18" outlineLevel="1" x14ac:dyDescent="0.25">
      <c r="B71" s="56" t="str">
        <f>C69&amp;C71</f>
        <v/>
      </c>
      <c r="C71" s="18" t="str">
        <f>IF(C69="","","Loan Balance")</f>
        <v/>
      </c>
      <c r="D71" s="51" t="str">
        <f t="shared" ref="D71:R71" si="45">IF($C69="","",IF(D$3&lt;=VLOOKUP($C69,P_List_Table_2,14,FALSE),VLOOKUP($C69,P_List_Table_2,13,FALSE),-PV(VLOOKUP($C69,P_List_Table_2,10,FALSE)/12,(VLOOKUP($C69,P_List_Table_2,15,FALSE)-VLOOKUP($C69,P_List_Table_2,14,FALSE)-D$3+VLOOKUP($C69,P_List_Table_2,14,FALSE))*12,D70/12)))</f>
        <v/>
      </c>
      <c r="E71" s="51" t="str">
        <f t="shared" si="45"/>
        <v/>
      </c>
      <c r="F71" s="51" t="str">
        <f t="shared" si="45"/>
        <v/>
      </c>
      <c r="G71" s="51" t="str">
        <f t="shared" si="45"/>
        <v/>
      </c>
      <c r="H71" s="51" t="str">
        <f t="shared" si="45"/>
        <v/>
      </c>
      <c r="I71" s="51" t="str">
        <f t="shared" si="45"/>
        <v/>
      </c>
      <c r="J71" s="51" t="str">
        <f t="shared" si="45"/>
        <v/>
      </c>
      <c r="K71" s="51" t="str">
        <f t="shared" si="45"/>
        <v/>
      </c>
      <c r="L71" s="51" t="str">
        <f t="shared" si="45"/>
        <v/>
      </c>
      <c r="M71" s="51" t="str">
        <f t="shared" si="45"/>
        <v/>
      </c>
      <c r="N71" s="51" t="str">
        <f t="shared" si="45"/>
        <v/>
      </c>
      <c r="O71" s="51" t="str">
        <f t="shared" si="45"/>
        <v/>
      </c>
      <c r="P71" s="51" t="str">
        <f t="shared" si="45"/>
        <v/>
      </c>
      <c r="Q71" s="51" t="str">
        <f t="shared" si="45"/>
        <v/>
      </c>
      <c r="R71" s="51" t="str">
        <f t="shared" si="45"/>
        <v/>
      </c>
    </row>
    <row r="72" spans="2:18" outlineLevel="1" collapsed="1" x14ac:dyDescent="0.25">
      <c r="B72" s="11" t="str">
        <f>IF(OR(B69=Number_Properties,B69=""),"",B69+1)</f>
        <v/>
      </c>
      <c r="C72" s="11" t="str">
        <f>IF(B72="","",VLOOKUP(B72,P_List_Table,2,FALSE))</f>
        <v/>
      </c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</row>
    <row r="73" spans="2:18" outlineLevel="1" x14ac:dyDescent="0.25">
      <c r="B73" s="56" t="str">
        <f>C72&amp;C73</f>
        <v/>
      </c>
      <c r="C73" s="18" t="str">
        <f>IF(C72="","","Debt Service")</f>
        <v/>
      </c>
      <c r="D73" s="51" t="str">
        <f t="shared" ref="D73:R73" si="46">IF($C72="","",IF(VLOOKUP($C72,P_List_Table_2,14,FALSE)&lt;D$3,VLOOKUP($C72,P_List_Table_2,11,FALSE),VLOOKUP($C72,P_List_Table_2,12,FALSE)))</f>
        <v/>
      </c>
      <c r="E73" s="51" t="str">
        <f t="shared" si="46"/>
        <v/>
      </c>
      <c r="F73" s="51" t="str">
        <f t="shared" si="46"/>
        <v/>
      </c>
      <c r="G73" s="51" t="str">
        <f t="shared" si="46"/>
        <v/>
      </c>
      <c r="H73" s="51" t="str">
        <f t="shared" si="46"/>
        <v/>
      </c>
      <c r="I73" s="51" t="str">
        <f t="shared" si="46"/>
        <v/>
      </c>
      <c r="J73" s="51" t="str">
        <f t="shared" si="46"/>
        <v/>
      </c>
      <c r="K73" s="51" t="str">
        <f t="shared" si="46"/>
        <v/>
      </c>
      <c r="L73" s="51" t="str">
        <f t="shared" si="46"/>
        <v/>
      </c>
      <c r="M73" s="51" t="str">
        <f t="shared" si="46"/>
        <v/>
      </c>
      <c r="N73" s="51" t="str">
        <f t="shared" si="46"/>
        <v/>
      </c>
      <c r="O73" s="51" t="str">
        <f t="shared" si="46"/>
        <v/>
      </c>
      <c r="P73" s="51" t="str">
        <f t="shared" si="46"/>
        <v/>
      </c>
      <c r="Q73" s="51" t="str">
        <f t="shared" si="46"/>
        <v/>
      </c>
      <c r="R73" s="51" t="str">
        <f t="shared" si="46"/>
        <v/>
      </c>
    </row>
    <row r="74" spans="2:18" outlineLevel="1" x14ac:dyDescent="0.25">
      <c r="B74" s="56" t="str">
        <f>C72&amp;C74</f>
        <v/>
      </c>
      <c r="C74" s="18" t="str">
        <f>IF(C72="","","Loan Balance")</f>
        <v/>
      </c>
      <c r="D74" s="51" t="str">
        <f t="shared" ref="D74:R74" si="47">IF($C72="","",IF(D$3&lt;=VLOOKUP($C72,P_List_Table_2,14,FALSE),VLOOKUP($C72,P_List_Table_2,13,FALSE),-PV(VLOOKUP($C72,P_List_Table_2,10,FALSE)/12,(VLOOKUP($C72,P_List_Table_2,15,FALSE)-VLOOKUP($C72,P_List_Table_2,14,FALSE)-D$3+VLOOKUP($C72,P_List_Table_2,14,FALSE))*12,D73/12)))</f>
        <v/>
      </c>
      <c r="E74" s="51" t="str">
        <f t="shared" si="47"/>
        <v/>
      </c>
      <c r="F74" s="51" t="str">
        <f t="shared" si="47"/>
        <v/>
      </c>
      <c r="G74" s="51" t="str">
        <f t="shared" si="47"/>
        <v/>
      </c>
      <c r="H74" s="51" t="str">
        <f t="shared" si="47"/>
        <v/>
      </c>
      <c r="I74" s="51" t="str">
        <f t="shared" si="47"/>
        <v/>
      </c>
      <c r="J74" s="51" t="str">
        <f t="shared" si="47"/>
        <v/>
      </c>
      <c r="K74" s="51" t="str">
        <f t="shared" si="47"/>
        <v/>
      </c>
      <c r="L74" s="51" t="str">
        <f t="shared" si="47"/>
        <v/>
      </c>
      <c r="M74" s="51" t="str">
        <f t="shared" si="47"/>
        <v/>
      </c>
      <c r="N74" s="51" t="str">
        <f t="shared" si="47"/>
        <v/>
      </c>
      <c r="O74" s="51" t="str">
        <f t="shared" si="47"/>
        <v/>
      </c>
      <c r="P74" s="51" t="str">
        <f t="shared" si="47"/>
        <v/>
      </c>
      <c r="Q74" s="51" t="str">
        <f t="shared" si="47"/>
        <v/>
      </c>
      <c r="R74" s="51" t="str">
        <f t="shared" si="47"/>
        <v/>
      </c>
    </row>
    <row r="75" spans="2:18" outlineLevel="1" collapsed="1" x14ac:dyDescent="0.25">
      <c r="B75" s="11" t="str">
        <f>IF(OR(B72=Number_Properties,B72=""),"",B72+1)</f>
        <v/>
      </c>
      <c r="C75" s="11" t="str">
        <f>IF(B75="","",VLOOKUP(B75,P_List_Table,2,FALSE))</f>
        <v/>
      </c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</row>
    <row r="76" spans="2:18" outlineLevel="1" x14ac:dyDescent="0.25">
      <c r="B76" s="56" t="str">
        <f>C75&amp;C76</f>
        <v/>
      </c>
      <c r="C76" s="18" t="str">
        <f>IF(C75="","","Debt Service")</f>
        <v/>
      </c>
      <c r="D76" s="51" t="str">
        <f t="shared" ref="D76:R76" si="48">IF($C75="","",IF(VLOOKUP($C75,P_List_Table_2,14,FALSE)&lt;D$3,VLOOKUP($C75,P_List_Table_2,11,FALSE),VLOOKUP($C75,P_List_Table_2,12,FALSE)))</f>
        <v/>
      </c>
      <c r="E76" s="51" t="str">
        <f t="shared" si="48"/>
        <v/>
      </c>
      <c r="F76" s="51" t="str">
        <f t="shared" si="48"/>
        <v/>
      </c>
      <c r="G76" s="51" t="str">
        <f t="shared" si="48"/>
        <v/>
      </c>
      <c r="H76" s="51" t="str">
        <f t="shared" si="48"/>
        <v/>
      </c>
      <c r="I76" s="51" t="str">
        <f t="shared" si="48"/>
        <v/>
      </c>
      <c r="J76" s="51" t="str">
        <f t="shared" si="48"/>
        <v/>
      </c>
      <c r="K76" s="51" t="str">
        <f t="shared" si="48"/>
        <v/>
      </c>
      <c r="L76" s="51" t="str">
        <f t="shared" si="48"/>
        <v/>
      </c>
      <c r="M76" s="51" t="str">
        <f t="shared" si="48"/>
        <v/>
      </c>
      <c r="N76" s="51" t="str">
        <f t="shared" si="48"/>
        <v/>
      </c>
      <c r="O76" s="51" t="str">
        <f t="shared" si="48"/>
        <v/>
      </c>
      <c r="P76" s="51" t="str">
        <f t="shared" si="48"/>
        <v/>
      </c>
      <c r="Q76" s="51" t="str">
        <f t="shared" si="48"/>
        <v/>
      </c>
      <c r="R76" s="51" t="str">
        <f t="shared" si="48"/>
        <v/>
      </c>
    </row>
    <row r="77" spans="2:18" outlineLevel="1" x14ac:dyDescent="0.25">
      <c r="B77" s="56" t="str">
        <f>C75&amp;C77</f>
        <v/>
      </c>
      <c r="C77" s="18" t="str">
        <f>IF(C75="","","Loan Balance")</f>
        <v/>
      </c>
      <c r="D77" s="51" t="str">
        <f t="shared" ref="D77:R77" si="49">IF($C75="","",IF(D$3&lt;=VLOOKUP($C75,P_List_Table_2,14,FALSE),VLOOKUP($C75,P_List_Table_2,13,FALSE),-PV(VLOOKUP($C75,P_List_Table_2,10,FALSE)/12,(VLOOKUP($C75,P_List_Table_2,15,FALSE)-VLOOKUP($C75,P_List_Table_2,14,FALSE)-D$3+VLOOKUP($C75,P_List_Table_2,14,FALSE))*12,D76/12)))</f>
        <v/>
      </c>
      <c r="E77" s="51" t="str">
        <f t="shared" si="49"/>
        <v/>
      </c>
      <c r="F77" s="51" t="str">
        <f t="shared" si="49"/>
        <v/>
      </c>
      <c r="G77" s="51" t="str">
        <f t="shared" si="49"/>
        <v/>
      </c>
      <c r="H77" s="51" t="str">
        <f t="shared" si="49"/>
        <v/>
      </c>
      <c r="I77" s="51" t="str">
        <f t="shared" si="49"/>
        <v/>
      </c>
      <c r="J77" s="51" t="str">
        <f t="shared" si="49"/>
        <v/>
      </c>
      <c r="K77" s="51" t="str">
        <f t="shared" si="49"/>
        <v/>
      </c>
      <c r="L77" s="51" t="str">
        <f t="shared" si="49"/>
        <v/>
      </c>
      <c r="M77" s="51" t="str">
        <f t="shared" si="49"/>
        <v/>
      </c>
      <c r="N77" s="51" t="str">
        <f t="shared" si="49"/>
        <v/>
      </c>
      <c r="O77" s="51" t="str">
        <f t="shared" si="49"/>
        <v/>
      </c>
      <c r="P77" s="51" t="str">
        <f t="shared" si="49"/>
        <v/>
      </c>
      <c r="Q77" s="51" t="str">
        <f t="shared" si="49"/>
        <v/>
      </c>
      <c r="R77" s="51" t="str">
        <f t="shared" si="49"/>
        <v/>
      </c>
    </row>
    <row r="78" spans="2:18" outlineLevel="1" collapsed="1" x14ac:dyDescent="0.25">
      <c r="B78" s="11" t="str">
        <f>IF(OR(B75=Number_Properties,B75=""),"",B75+1)</f>
        <v/>
      </c>
      <c r="C78" s="11" t="str">
        <f>IF(B78="","",VLOOKUP(B78,P_List_Table,2,FALSE))</f>
        <v/>
      </c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</row>
    <row r="79" spans="2:18" outlineLevel="1" x14ac:dyDescent="0.25">
      <c r="B79" s="56" t="str">
        <f>C78&amp;C79</f>
        <v/>
      </c>
      <c r="C79" s="18" t="str">
        <f>IF(C78="","","Debt Service")</f>
        <v/>
      </c>
      <c r="D79" s="51" t="str">
        <f t="shared" ref="D79:R79" si="50">IF($C78="","",IF(VLOOKUP($C78,P_List_Table_2,14,FALSE)&lt;D$3,VLOOKUP($C78,P_List_Table_2,11,FALSE),VLOOKUP($C78,P_List_Table_2,12,FALSE)))</f>
        <v/>
      </c>
      <c r="E79" s="51" t="str">
        <f t="shared" si="50"/>
        <v/>
      </c>
      <c r="F79" s="51" t="str">
        <f t="shared" si="50"/>
        <v/>
      </c>
      <c r="G79" s="51" t="str">
        <f t="shared" si="50"/>
        <v/>
      </c>
      <c r="H79" s="51" t="str">
        <f t="shared" si="50"/>
        <v/>
      </c>
      <c r="I79" s="51" t="str">
        <f t="shared" si="50"/>
        <v/>
      </c>
      <c r="J79" s="51" t="str">
        <f t="shared" si="50"/>
        <v/>
      </c>
      <c r="K79" s="51" t="str">
        <f t="shared" si="50"/>
        <v/>
      </c>
      <c r="L79" s="51" t="str">
        <f t="shared" si="50"/>
        <v/>
      </c>
      <c r="M79" s="51" t="str">
        <f t="shared" si="50"/>
        <v/>
      </c>
      <c r="N79" s="51" t="str">
        <f t="shared" si="50"/>
        <v/>
      </c>
      <c r="O79" s="51" t="str">
        <f t="shared" si="50"/>
        <v/>
      </c>
      <c r="P79" s="51" t="str">
        <f t="shared" si="50"/>
        <v/>
      </c>
      <c r="Q79" s="51" t="str">
        <f t="shared" si="50"/>
        <v/>
      </c>
      <c r="R79" s="51" t="str">
        <f t="shared" si="50"/>
        <v/>
      </c>
    </row>
    <row r="80" spans="2:18" outlineLevel="1" x14ac:dyDescent="0.25">
      <c r="B80" s="56" t="str">
        <f>C78&amp;C80</f>
        <v/>
      </c>
      <c r="C80" s="18" t="str">
        <f>IF(C78="","","Loan Balance")</f>
        <v/>
      </c>
      <c r="D80" s="51" t="str">
        <f t="shared" ref="D80:R80" si="51">IF($C78="","",IF(D$3&lt;=VLOOKUP($C78,P_List_Table_2,14,FALSE),VLOOKUP($C78,P_List_Table_2,13,FALSE),-PV(VLOOKUP($C78,P_List_Table_2,10,FALSE)/12,(VLOOKUP($C78,P_List_Table_2,15,FALSE)-VLOOKUP($C78,P_List_Table_2,14,FALSE)-D$3+VLOOKUP($C78,P_List_Table_2,14,FALSE))*12,D79/12)))</f>
        <v/>
      </c>
      <c r="E80" s="51" t="str">
        <f t="shared" si="51"/>
        <v/>
      </c>
      <c r="F80" s="51" t="str">
        <f t="shared" si="51"/>
        <v/>
      </c>
      <c r="G80" s="51" t="str">
        <f t="shared" si="51"/>
        <v/>
      </c>
      <c r="H80" s="51" t="str">
        <f t="shared" si="51"/>
        <v/>
      </c>
      <c r="I80" s="51" t="str">
        <f t="shared" si="51"/>
        <v/>
      </c>
      <c r="J80" s="51" t="str">
        <f t="shared" si="51"/>
        <v/>
      </c>
      <c r="K80" s="51" t="str">
        <f t="shared" si="51"/>
        <v/>
      </c>
      <c r="L80" s="51" t="str">
        <f t="shared" si="51"/>
        <v/>
      </c>
      <c r="M80" s="51" t="str">
        <f t="shared" si="51"/>
        <v/>
      </c>
      <c r="N80" s="51" t="str">
        <f t="shared" si="51"/>
        <v/>
      </c>
      <c r="O80" s="51" t="str">
        <f t="shared" si="51"/>
        <v/>
      </c>
      <c r="P80" s="51" t="str">
        <f t="shared" si="51"/>
        <v/>
      </c>
      <c r="Q80" s="51" t="str">
        <f t="shared" si="51"/>
        <v/>
      </c>
      <c r="R80" s="51" t="str">
        <f t="shared" si="51"/>
        <v/>
      </c>
    </row>
    <row r="81" spans="2:18" outlineLevel="1" collapsed="1" x14ac:dyDescent="0.25">
      <c r="B81" s="11" t="str">
        <f>IF(OR(B78=Number_Properties,B78=""),"",B78+1)</f>
        <v/>
      </c>
      <c r="C81" s="11" t="str">
        <f>IF(B81="","",VLOOKUP(B81,P_List_Table,2,FALSE))</f>
        <v/>
      </c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</row>
    <row r="82" spans="2:18" outlineLevel="1" x14ac:dyDescent="0.25">
      <c r="B82" s="56" t="str">
        <f>C81&amp;C82</f>
        <v/>
      </c>
      <c r="C82" s="18" t="str">
        <f>IF(C81="","","Debt Service")</f>
        <v/>
      </c>
      <c r="D82" s="51" t="str">
        <f t="shared" ref="D82:R82" si="52">IF($C81="","",IF(VLOOKUP($C81,P_List_Table_2,14,FALSE)&lt;D$3,VLOOKUP($C81,P_List_Table_2,11,FALSE),VLOOKUP($C81,P_List_Table_2,12,FALSE)))</f>
        <v/>
      </c>
      <c r="E82" s="51" t="str">
        <f t="shared" si="52"/>
        <v/>
      </c>
      <c r="F82" s="51" t="str">
        <f t="shared" si="52"/>
        <v/>
      </c>
      <c r="G82" s="51" t="str">
        <f t="shared" si="52"/>
        <v/>
      </c>
      <c r="H82" s="51" t="str">
        <f t="shared" si="52"/>
        <v/>
      </c>
      <c r="I82" s="51" t="str">
        <f t="shared" si="52"/>
        <v/>
      </c>
      <c r="J82" s="51" t="str">
        <f t="shared" si="52"/>
        <v/>
      </c>
      <c r="K82" s="51" t="str">
        <f t="shared" si="52"/>
        <v/>
      </c>
      <c r="L82" s="51" t="str">
        <f t="shared" si="52"/>
        <v/>
      </c>
      <c r="M82" s="51" t="str">
        <f t="shared" si="52"/>
        <v/>
      </c>
      <c r="N82" s="51" t="str">
        <f t="shared" si="52"/>
        <v/>
      </c>
      <c r="O82" s="51" t="str">
        <f t="shared" si="52"/>
        <v/>
      </c>
      <c r="P82" s="51" t="str">
        <f t="shared" si="52"/>
        <v/>
      </c>
      <c r="Q82" s="51" t="str">
        <f t="shared" si="52"/>
        <v/>
      </c>
      <c r="R82" s="51" t="str">
        <f t="shared" si="52"/>
        <v/>
      </c>
    </row>
    <row r="83" spans="2:18" outlineLevel="1" x14ac:dyDescent="0.25">
      <c r="B83" s="56" t="str">
        <f>C81&amp;C83</f>
        <v/>
      </c>
      <c r="C83" s="18" t="str">
        <f>IF(C81="","","Loan Balance")</f>
        <v/>
      </c>
      <c r="D83" s="51" t="str">
        <f t="shared" ref="D83:R83" si="53">IF($C81="","",IF(D$3&lt;=VLOOKUP($C81,P_List_Table_2,14,FALSE),VLOOKUP($C81,P_List_Table_2,13,FALSE),-PV(VLOOKUP($C81,P_List_Table_2,10,FALSE)/12,(VLOOKUP($C81,P_List_Table_2,15,FALSE)-VLOOKUP($C81,P_List_Table_2,14,FALSE)-D$3+VLOOKUP($C81,P_List_Table_2,14,FALSE))*12,D82/12)))</f>
        <v/>
      </c>
      <c r="E83" s="51" t="str">
        <f t="shared" si="53"/>
        <v/>
      </c>
      <c r="F83" s="51" t="str">
        <f t="shared" si="53"/>
        <v/>
      </c>
      <c r="G83" s="51" t="str">
        <f t="shared" si="53"/>
        <v/>
      </c>
      <c r="H83" s="51" t="str">
        <f t="shared" si="53"/>
        <v/>
      </c>
      <c r="I83" s="51" t="str">
        <f t="shared" si="53"/>
        <v/>
      </c>
      <c r="J83" s="51" t="str">
        <f t="shared" si="53"/>
        <v/>
      </c>
      <c r="K83" s="51" t="str">
        <f t="shared" si="53"/>
        <v/>
      </c>
      <c r="L83" s="51" t="str">
        <f t="shared" si="53"/>
        <v/>
      </c>
      <c r="M83" s="51" t="str">
        <f t="shared" si="53"/>
        <v/>
      </c>
      <c r="N83" s="51" t="str">
        <f t="shared" si="53"/>
        <v/>
      </c>
      <c r="O83" s="51" t="str">
        <f t="shared" si="53"/>
        <v/>
      </c>
      <c r="P83" s="51" t="str">
        <f t="shared" si="53"/>
        <v/>
      </c>
      <c r="Q83" s="51" t="str">
        <f t="shared" si="53"/>
        <v/>
      </c>
      <c r="R83" s="51" t="str">
        <f t="shared" si="53"/>
        <v/>
      </c>
    </row>
    <row r="84" spans="2:18" outlineLevel="1" collapsed="1" x14ac:dyDescent="0.25">
      <c r="B84" s="11" t="str">
        <f>IF(OR(B81=Number_Properties,B81=""),"",B81+1)</f>
        <v/>
      </c>
      <c r="C84" s="11" t="str">
        <f>IF(B84="","",VLOOKUP(B84,P_List_Table,2,FALSE))</f>
        <v/>
      </c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</row>
    <row r="85" spans="2:18" outlineLevel="1" x14ac:dyDescent="0.25">
      <c r="B85" s="56" t="str">
        <f>C84&amp;C85</f>
        <v/>
      </c>
      <c r="C85" s="18" t="str">
        <f>IF(C84="","","Debt Service")</f>
        <v/>
      </c>
      <c r="D85" s="51" t="str">
        <f t="shared" ref="D85:R85" si="54">IF($C84="","",IF(VLOOKUP($C84,P_List_Table_2,14,FALSE)&lt;D$3,VLOOKUP($C84,P_List_Table_2,11,FALSE),VLOOKUP($C84,P_List_Table_2,12,FALSE)))</f>
        <v/>
      </c>
      <c r="E85" s="51" t="str">
        <f t="shared" si="54"/>
        <v/>
      </c>
      <c r="F85" s="51" t="str">
        <f t="shared" si="54"/>
        <v/>
      </c>
      <c r="G85" s="51" t="str">
        <f t="shared" si="54"/>
        <v/>
      </c>
      <c r="H85" s="51" t="str">
        <f t="shared" si="54"/>
        <v/>
      </c>
      <c r="I85" s="51" t="str">
        <f t="shared" si="54"/>
        <v/>
      </c>
      <c r="J85" s="51" t="str">
        <f t="shared" si="54"/>
        <v/>
      </c>
      <c r="K85" s="51" t="str">
        <f t="shared" si="54"/>
        <v/>
      </c>
      <c r="L85" s="51" t="str">
        <f t="shared" si="54"/>
        <v/>
      </c>
      <c r="M85" s="51" t="str">
        <f t="shared" si="54"/>
        <v/>
      </c>
      <c r="N85" s="51" t="str">
        <f t="shared" si="54"/>
        <v/>
      </c>
      <c r="O85" s="51" t="str">
        <f t="shared" si="54"/>
        <v/>
      </c>
      <c r="P85" s="51" t="str">
        <f t="shared" si="54"/>
        <v/>
      </c>
      <c r="Q85" s="51" t="str">
        <f t="shared" si="54"/>
        <v/>
      </c>
      <c r="R85" s="51" t="str">
        <f t="shared" si="54"/>
        <v/>
      </c>
    </row>
    <row r="86" spans="2:18" outlineLevel="1" x14ac:dyDescent="0.25">
      <c r="B86" s="56" t="str">
        <f>C84&amp;C86</f>
        <v/>
      </c>
      <c r="C86" s="18" t="str">
        <f>IF(C84="","","Loan Balance")</f>
        <v/>
      </c>
      <c r="D86" s="51" t="str">
        <f t="shared" ref="D86:R86" si="55">IF($C84="","",IF(D$3&lt;=VLOOKUP($C84,P_List_Table_2,14,FALSE),VLOOKUP($C84,P_List_Table_2,13,FALSE),-PV(VLOOKUP($C84,P_List_Table_2,10,FALSE)/12,(VLOOKUP($C84,P_List_Table_2,15,FALSE)-VLOOKUP($C84,P_List_Table_2,14,FALSE)-D$3+VLOOKUP($C84,P_List_Table_2,14,FALSE))*12,D85/12)))</f>
        <v/>
      </c>
      <c r="E86" s="51" t="str">
        <f t="shared" si="55"/>
        <v/>
      </c>
      <c r="F86" s="51" t="str">
        <f t="shared" si="55"/>
        <v/>
      </c>
      <c r="G86" s="51" t="str">
        <f t="shared" si="55"/>
        <v/>
      </c>
      <c r="H86" s="51" t="str">
        <f t="shared" si="55"/>
        <v/>
      </c>
      <c r="I86" s="51" t="str">
        <f t="shared" si="55"/>
        <v/>
      </c>
      <c r="J86" s="51" t="str">
        <f t="shared" si="55"/>
        <v/>
      </c>
      <c r="K86" s="51" t="str">
        <f t="shared" si="55"/>
        <v/>
      </c>
      <c r="L86" s="51" t="str">
        <f t="shared" si="55"/>
        <v/>
      </c>
      <c r="M86" s="51" t="str">
        <f t="shared" si="55"/>
        <v/>
      </c>
      <c r="N86" s="51" t="str">
        <f t="shared" si="55"/>
        <v/>
      </c>
      <c r="O86" s="51" t="str">
        <f t="shared" si="55"/>
        <v/>
      </c>
      <c r="P86" s="51" t="str">
        <f t="shared" si="55"/>
        <v/>
      </c>
      <c r="Q86" s="51" t="str">
        <f t="shared" si="55"/>
        <v/>
      </c>
      <c r="R86" s="51" t="str">
        <f t="shared" si="55"/>
        <v/>
      </c>
    </row>
    <row r="87" spans="2:18" outlineLevel="1" collapsed="1" x14ac:dyDescent="0.25">
      <c r="B87" s="11" t="str">
        <f>IF(OR(B84=Number_Properties,B84=""),"",B84+1)</f>
        <v/>
      </c>
      <c r="C87" s="11" t="str">
        <f>IF(B87="","",VLOOKUP(B87,P_List_Table,2,FALSE))</f>
        <v/>
      </c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</row>
    <row r="88" spans="2:18" outlineLevel="1" x14ac:dyDescent="0.25">
      <c r="B88" s="56" t="str">
        <f>C87&amp;C88</f>
        <v/>
      </c>
      <c r="C88" s="18" t="str">
        <f>IF(C87="","","Debt Service")</f>
        <v/>
      </c>
      <c r="D88" s="51" t="str">
        <f t="shared" ref="D88:R88" si="56">IF($C87="","",IF(VLOOKUP($C87,P_List_Table_2,14,FALSE)&lt;D$3,VLOOKUP($C87,P_List_Table_2,11,FALSE),VLOOKUP($C87,P_List_Table_2,12,FALSE)))</f>
        <v/>
      </c>
      <c r="E88" s="51" t="str">
        <f t="shared" si="56"/>
        <v/>
      </c>
      <c r="F88" s="51" t="str">
        <f t="shared" si="56"/>
        <v/>
      </c>
      <c r="G88" s="51" t="str">
        <f t="shared" si="56"/>
        <v/>
      </c>
      <c r="H88" s="51" t="str">
        <f t="shared" si="56"/>
        <v/>
      </c>
      <c r="I88" s="51" t="str">
        <f t="shared" si="56"/>
        <v/>
      </c>
      <c r="J88" s="51" t="str">
        <f t="shared" si="56"/>
        <v/>
      </c>
      <c r="K88" s="51" t="str">
        <f t="shared" si="56"/>
        <v/>
      </c>
      <c r="L88" s="51" t="str">
        <f t="shared" si="56"/>
        <v/>
      </c>
      <c r="M88" s="51" t="str">
        <f t="shared" si="56"/>
        <v/>
      </c>
      <c r="N88" s="51" t="str">
        <f t="shared" si="56"/>
        <v/>
      </c>
      <c r="O88" s="51" t="str">
        <f t="shared" si="56"/>
        <v/>
      </c>
      <c r="P88" s="51" t="str">
        <f t="shared" si="56"/>
        <v/>
      </c>
      <c r="Q88" s="51" t="str">
        <f t="shared" si="56"/>
        <v/>
      </c>
      <c r="R88" s="51" t="str">
        <f t="shared" si="56"/>
        <v/>
      </c>
    </row>
    <row r="89" spans="2:18" outlineLevel="1" x14ac:dyDescent="0.25">
      <c r="B89" s="56" t="str">
        <f>C87&amp;C89</f>
        <v/>
      </c>
      <c r="C89" s="18" t="str">
        <f>IF(C87="","","Loan Balance")</f>
        <v/>
      </c>
      <c r="D89" s="51" t="str">
        <f t="shared" ref="D89:R89" si="57">IF($C87="","",IF(D$3&lt;=VLOOKUP($C87,P_List_Table_2,14,FALSE),VLOOKUP($C87,P_List_Table_2,13,FALSE),-PV(VLOOKUP($C87,P_List_Table_2,10,FALSE)/12,(VLOOKUP($C87,P_List_Table_2,15,FALSE)-VLOOKUP($C87,P_List_Table_2,14,FALSE)-D$3+VLOOKUP($C87,P_List_Table_2,14,FALSE))*12,D88/12)))</f>
        <v/>
      </c>
      <c r="E89" s="51" t="str">
        <f t="shared" si="57"/>
        <v/>
      </c>
      <c r="F89" s="51" t="str">
        <f t="shared" si="57"/>
        <v/>
      </c>
      <c r="G89" s="51" t="str">
        <f t="shared" si="57"/>
        <v/>
      </c>
      <c r="H89" s="51" t="str">
        <f t="shared" si="57"/>
        <v/>
      </c>
      <c r="I89" s="51" t="str">
        <f t="shared" si="57"/>
        <v/>
      </c>
      <c r="J89" s="51" t="str">
        <f t="shared" si="57"/>
        <v/>
      </c>
      <c r="K89" s="51" t="str">
        <f t="shared" si="57"/>
        <v/>
      </c>
      <c r="L89" s="51" t="str">
        <f t="shared" si="57"/>
        <v/>
      </c>
      <c r="M89" s="51" t="str">
        <f t="shared" si="57"/>
        <v/>
      </c>
      <c r="N89" s="51" t="str">
        <f t="shared" si="57"/>
        <v/>
      </c>
      <c r="O89" s="51" t="str">
        <f t="shared" si="57"/>
        <v/>
      </c>
      <c r="P89" s="51" t="str">
        <f t="shared" si="57"/>
        <v/>
      </c>
      <c r="Q89" s="51" t="str">
        <f t="shared" si="57"/>
        <v/>
      </c>
      <c r="R89" s="51" t="str">
        <f t="shared" si="57"/>
        <v/>
      </c>
    </row>
    <row r="90" spans="2:18" outlineLevel="1" collapsed="1" x14ac:dyDescent="0.25">
      <c r="B90" s="11" t="str">
        <f>IF(OR(B87=Number_Properties,B87=""),"",B87+1)</f>
        <v/>
      </c>
      <c r="C90" s="11" t="str">
        <f>IF(B90="","",VLOOKUP(B90,P_List_Table,2,FALSE))</f>
        <v/>
      </c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</row>
    <row r="91" spans="2:18" outlineLevel="1" x14ac:dyDescent="0.25">
      <c r="B91" s="56" t="str">
        <f>C90&amp;C91</f>
        <v/>
      </c>
      <c r="C91" s="18" t="str">
        <f>IF(C90="","","Debt Service")</f>
        <v/>
      </c>
      <c r="D91" s="51" t="str">
        <f t="shared" ref="D91:R91" si="58">IF($C90="","",IF(VLOOKUP($C90,P_List_Table_2,14,FALSE)&lt;D$3,VLOOKUP($C90,P_List_Table_2,11,FALSE),VLOOKUP($C90,P_List_Table_2,12,FALSE)))</f>
        <v/>
      </c>
      <c r="E91" s="51" t="str">
        <f t="shared" si="58"/>
        <v/>
      </c>
      <c r="F91" s="51" t="str">
        <f t="shared" si="58"/>
        <v/>
      </c>
      <c r="G91" s="51" t="str">
        <f t="shared" si="58"/>
        <v/>
      </c>
      <c r="H91" s="51" t="str">
        <f t="shared" si="58"/>
        <v/>
      </c>
      <c r="I91" s="51" t="str">
        <f t="shared" si="58"/>
        <v/>
      </c>
      <c r="J91" s="51" t="str">
        <f t="shared" si="58"/>
        <v/>
      </c>
      <c r="K91" s="51" t="str">
        <f t="shared" si="58"/>
        <v/>
      </c>
      <c r="L91" s="51" t="str">
        <f t="shared" si="58"/>
        <v/>
      </c>
      <c r="M91" s="51" t="str">
        <f t="shared" si="58"/>
        <v/>
      </c>
      <c r="N91" s="51" t="str">
        <f t="shared" si="58"/>
        <v/>
      </c>
      <c r="O91" s="51" t="str">
        <f t="shared" si="58"/>
        <v/>
      </c>
      <c r="P91" s="51" t="str">
        <f t="shared" si="58"/>
        <v/>
      </c>
      <c r="Q91" s="51" t="str">
        <f t="shared" si="58"/>
        <v/>
      </c>
      <c r="R91" s="51" t="str">
        <f t="shared" si="58"/>
        <v/>
      </c>
    </row>
    <row r="92" spans="2:18" outlineLevel="1" x14ac:dyDescent="0.25">
      <c r="B92" s="56" t="str">
        <f>C90&amp;C92</f>
        <v/>
      </c>
      <c r="C92" s="18" t="str">
        <f>IF(C90="","","Loan Balance")</f>
        <v/>
      </c>
      <c r="D92" s="51" t="str">
        <f t="shared" ref="D92:R92" si="59">IF($C90="","",IF(D$3&lt;=VLOOKUP($C90,P_List_Table_2,14,FALSE),VLOOKUP($C90,P_List_Table_2,13,FALSE),-PV(VLOOKUP($C90,P_List_Table_2,10,FALSE)/12,(VLOOKUP($C90,P_List_Table_2,15,FALSE)-VLOOKUP($C90,P_List_Table_2,14,FALSE)-D$3+VLOOKUP($C90,P_List_Table_2,14,FALSE))*12,D91/12)))</f>
        <v/>
      </c>
      <c r="E92" s="51" t="str">
        <f t="shared" si="59"/>
        <v/>
      </c>
      <c r="F92" s="51" t="str">
        <f t="shared" si="59"/>
        <v/>
      </c>
      <c r="G92" s="51" t="str">
        <f t="shared" si="59"/>
        <v/>
      </c>
      <c r="H92" s="51" t="str">
        <f t="shared" si="59"/>
        <v/>
      </c>
      <c r="I92" s="51" t="str">
        <f t="shared" si="59"/>
        <v/>
      </c>
      <c r="J92" s="51" t="str">
        <f t="shared" si="59"/>
        <v/>
      </c>
      <c r="K92" s="51" t="str">
        <f t="shared" si="59"/>
        <v/>
      </c>
      <c r="L92" s="51" t="str">
        <f t="shared" si="59"/>
        <v/>
      </c>
      <c r="M92" s="51" t="str">
        <f t="shared" si="59"/>
        <v/>
      </c>
      <c r="N92" s="51" t="str">
        <f t="shared" si="59"/>
        <v/>
      </c>
      <c r="O92" s="51" t="str">
        <f t="shared" si="59"/>
        <v/>
      </c>
      <c r="P92" s="51" t="str">
        <f t="shared" si="59"/>
        <v/>
      </c>
      <c r="Q92" s="51" t="str">
        <f t="shared" si="59"/>
        <v/>
      </c>
      <c r="R92" s="51" t="str">
        <f t="shared" si="59"/>
        <v/>
      </c>
    </row>
    <row r="93" spans="2:18" outlineLevel="1" collapsed="1" x14ac:dyDescent="0.25">
      <c r="B93" s="11" t="str">
        <f>IF(OR(B90=Number_Properties,B90=""),"",B90+1)</f>
        <v/>
      </c>
      <c r="C93" s="11" t="str">
        <f>IF(B93="","",VLOOKUP(B93,P_List_Table,2,FALSE))</f>
        <v/>
      </c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</row>
    <row r="94" spans="2:18" outlineLevel="1" x14ac:dyDescent="0.25">
      <c r="B94" s="56" t="str">
        <f>C93&amp;C94</f>
        <v/>
      </c>
      <c r="C94" s="18" t="str">
        <f>IF(C93="","","Debt Service")</f>
        <v/>
      </c>
      <c r="D94" s="51" t="str">
        <f t="shared" ref="D94:R94" si="60">IF($C93="","",IF(VLOOKUP($C93,P_List_Table_2,14,FALSE)&lt;D$3,VLOOKUP($C93,P_List_Table_2,11,FALSE),VLOOKUP($C93,P_List_Table_2,12,FALSE)))</f>
        <v/>
      </c>
      <c r="E94" s="51" t="str">
        <f t="shared" si="60"/>
        <v/>
      </c>
      <c r="F94" s="51" t="str">
        <f t="shared" si="60"/>
        <v/>
      </c>
      <c r="G94" s="51" t="str">
        <f t="shared" si="60"/>
        <v/>
      </c>
      <c r="H94" s="51" t="str">
        <f t="shared" si="60"/>
        <v/>
      </c>
      <c r="I94" s="51" t="str">
        <f t="shared" si="60"/>
        <v/>
      </c>
      <c r="J94" s="51" t="str">
        <f t="shared" si="60"/>
        <v/>
      </c>
      <c r="K94" s="51" t="str">
        <f t="shared" si="60"/>
        <v/>
      </c>
      <c r="L94" s="51" t="str">
        <f t="shared" si="60"/>
        <v/>
      </c>
      <c r="M94" s="51" t="str">
        <f t="shared" si="60"/>
        <v/>
      </c>
      <c r="N94" s="51" t="str">
        <f t="shared" si="60"/>
        <v/>
      </c>
      <c r="O94" s="51" t="str">
        <f t="shared" si="60"/>
        <v/>
      </c>
      <c r="P94" s="51" t="str">
        <f t="shared" si="60"/>
        <v/>
      </c>
      <c r="Q94" s="51" t="str">
        <f t="shared" si="60"/>
        <v/>
      </c>
      <c r="R94" s="51" t="str">
        <f t="shared" si="60"/>
        <v/>
      </c>
    </row>
    <row r="95" spans="2:18" outlineLevel="1" x14ac:dyDescent="0.25">
      <c r="B95" s="56" t="str">
        <f>C93&amp;C95</f>
        <v/>
      </c>
      <c r="C95" s="18" t="str">
        <f>IF(C93="","","Loan Balance")</f>
        <v/>
      </c>
      <c r="D95" s="51" t="str">
        <f t="shared" ref="D95:R95" si="61">IF($C93="","",IF(D$3&lt;=VLOOKUP($C93,P_List_Table_2,14,FALSE),VLOOKUP($C93,P_List_Table_2,13,FALSE),-PV(VLOOKUP($C93,P_List_Table_2,10,FALSE)/12,(VLOOKUP($C93,P_List_Table_2,15,FALSE)-VLOOKUP($C93,P_List_Table_2,14,FALSE)-D$3+VLOOKUP($C93,P_List_Table_2,14,FALSE))*12,D94/12)))</f>
        <v/>
      </c>
      <c r="E95" s="51" t="str">
        <f t="shared" si="61"/>
        <v/>
      </c>
      <c r="F95" s="51" t="str">
        <f t="shared" si="61"/>
        <v/>
      </c>
      <c r="G95" s="51" t="str">
        <f t="shared" si="61"/>
        <v/>
      </c>
      <c r="H95" s="51" t="str">
        <f t="shared" si="61"/>
        <v/>
      </c>
      <c r="I95" s="51" t="str">
        <f t="shared" si="61"/>
        <v/>
      </c>
      <c r="J95" s="51" t="str">
        <f t="shared" si="61"/>
        <v/>
      </c>
      <c r="K95" s="51" t="str">
        <f t="shared" si="61"/>
        <v/>
      </c>
      <c r="L95" s="51" t="str">
        <f t="shared" si="61"/>
        <v/>
      </c>
      <c r="M95" s="51" t="str">
        <f t="shared" si="61"/>
        <v/>
      </c>
      <c r="N95" s="51" t="str">
        <f t="shared" si="61"/>
        <v/>
      </c>
      <c r="O95" s="51" t="str">
        <f t="shared" si="61"/>
        <v/>
      </c>
      <c r="P95" s="51" t="str">
        <f t="shared" si="61"/>
        <v/>
      </c>
      <c r="Q95" s="51" t="str">
        <f t="shared" si="61"/>
        <v/>
      </c>
      <c r="R95" s="51" t="str">
        <f t="shared" si="61"/>
        <v/>
      </c>
    </row>
    <row r="96" spans="2:18" outlineLevel="1" collapsed="1" x14ac:dyDescent="0.25">
      <c r="B96" s="11" t="str">
        <f>IF(OR(B93=Number_Properties,B93=""),"",B93+1)</f>
        <v/>
      </c>
      <c r="C96" s="11" t="str">
        <f>IF(B96="","",VLOOKUP(B96,P_List_Table,2,FALSE))</f>
        <v/>
      </c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</row>
    <row r="97" spans="2:18" outlineLevel="1" x14ac:dyDescent="0.25">
      <c r="B97" s="56" t="str">
        <f>C96&amp;C97</f>
        <v/>
      </c>
      <c r="C97" s="18" t="str">
        <f>IF(C96="","","Debt Service")</f>
        <v/>
      </c>
      <c r="D97" s="51" t="str">
        <f t="shared" ref="D97:R97" si="62">IF($C96="","",IF(VLOOKUP($C96,P_List_Table_2,14,FALSE)&lt;D$3,VLOOKUP($C96,P_List_Table_2,11,FALSE),VLOOKUP($C96,P_List_Table_2,12,FALSE)))</f>
        <v/>
      </c>
      <c r="E97" s="51" t="str">
        <f t="shared" si="62"/>
        <v/>
      </c>
      <c r="F97" s="51" t="str">
        <f t="shared" si="62"/>
        <v/>
      </c>
      <c r="G97" s="51" t="str">
        <f t="shared" si="62"/>
        <v/>
      </c>
      <c r="H97" s="51" t="str">
        <f t="shared" si="62"/>
        <v/>
      </c>
      <c r="I97" s="51" t="str">
        <f t="shared" si="62"/>
        <v/>
      </c>
      <c r="J97" s="51" t="str">
        <f t="shared" si="62"/>
        <v/>
      </c>
      <c r="K97" s="51" t="str">
        <f t="shared" si="62"/>
        <v/>
      </c>
      <c r="L97" s="51" t="str">
        <f t="shared" si="62"/>
        <v/>
      </c>
      <c r="M97" s="51" t="str">
        <f t="shared" si="62"/>
        <v/>
      </c>
      <c r="N97" s="51" t="str">
        <f t="shared" si="62"/>
        <v/>
      </c>
      <c r="O97" s="51" t="str">
        <f t="shared" si="62"/>
        <v/>
      </c>
      <c r="P97" s="51" t="str">
        <f t="shared" si="62"/>
        <v/>
      </c>
      <c r="Q97" s="51" t="str">
        <f t="shared" si="62"/>
        <v/>
      </c>
      <c r="R97" s="51" t="str">
        <f t="shared" si="62"/>
        <v/>
      </c>
    </row>
    <row r="98" spans="2:18" outlineLevel="1" x14ac:dyDescent="0.25">
      <c r="B98" s="56" t="str">
        <f>C96&amp;C98</f>
        <v/>
      </c>
      <c r="C98" s="18" t="str">
        <f>IF(C96="","","Loan Balance")</f>
        <v/>
      </c>
      <c r="D98" s="51" t="str">
        <f t="shared" ref="D98:R98" si="63">IF($C96="","",IF(D$3&lt;=VLOOKUP($C96,P_List_Table_2,14,FALSE),VLOOKUP($C96,P_List_Table_2,13,FALSE),-PV(VLOOKUP($C96,P_List_Table_2,10,FALSE)/12,(VLOOKUP($C96,P_List_Table_2,15,FALSE)-VLOOKUP($C96,P_List_Table_2,14,FALSE)-D$3+VLOOKUP($C96,P_List_Table_2,14,FALSE))*12,D97/12)))</f>
        <v/>
      </c>
      <c r="E98" s="51" t="str">
        <f t="shared" si="63"/>
        <v/>
      </c>
      <c r="F98" s="51" t="str">
        <f t="shared" si="63"/>
        <v/>
      </c>
      <c r="G98" s="51" t="str">
        <f t="shared" si="63"/>
        <v/>
      </c>
      <c r="H98" s="51" t="str">
        <f t="shared" si="63"/>
        <v/>
      </c>
      <c r="I98" s="51" t="str">
        <f t="shared" si="63"/>
        <v/>
      </c>
      <c r="J98" s="51" t="str">
        <f t="shared" si="63"/>
        <v/>
      </c>
      <c r="K98" s="51" t="str">
        <f t="shared" si="63"/>
        <v/>
      </c>
      <c r="L98" s="51" t="str">
        <f t="shared" si="63"/>
        <v/>
      </c>
      <c r="M98" s="51" t="str">
        <f t="shared" si="63"/>
        <v/>
      </c>
      <c r="N98" s="51" t="str">
        <f t="shared" si="63"/>
        <v/>
      </c>
      <c r="O98" s="51" t="str">
        <f t="shared" si="63"/>
        <v/>
      </c>
      <c r="P98" s="51" t="str">
        <f t="shared" si="63"/>
        <v/>
      </c>
      <c r="Q98" s="51" t="str">
        <f t="shared" si="63"/>
        <v/>
      </c>
      <c r="R98" s="51" t="str">
        <f t="shared" si="63"/>
        <v/>
      </c>
    </row>
  </sheetData>
  <conditionalFormatting sqref="B4:R4">
    <cfRule type="expression" dxfId="5" priority="15">
      <formula>B4&lt;&gt;""</formula>
    </cfRule>
  </conditionalFormatting>
  <conditionalFormatting sqref="B4:R5 B6:C7 B8:R98">
    <cfRule type="expression" dxfId="4" priority="11">
      <formula>B$4=""</formula>
    </cfRule>
  </conditionalFormatting>
  <conditionalFormatting sqref="D6:D7">
    <cfRule type="expression" dxfId="3" priority="9">
      <formula>D$4=""</formula>
    </cfRule>
  </conditionalFormatting>
  <conditionalFormatting sqref="E6:R6">
    <cfRule type="expression" dxfId="2" priority="7">
      <formula>E$4=""</formula>
    </cfRule>
  </conditionalFormatting>
  <conditionalFormatting sqref="E7:R7">
    <cfRule type="expression" dxfId="1" priority="5">
      <formula>E$4=""</formula>
    </cfRule>
  </conditionalFormatting>
  <conditionalFormatting sqref="B2:R4">
    <cfRule type="expression" dxfId="0" priority="1">
      <formula>B$4&lt;&gt;""</formula>
    </cfRule>
  </conditionalFormatting>
  <pageMargins left="0.7" right="0.7" top="0.75" bottom="0.75" header="0.3" footer="0.3"/>
  <pageSetup scale="40" orientation="portrait" horizontalDpi="4294967294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"/>
  <sheetViews>
    <sheetView showGridLines="0" workbookViewId="0"/>
  </sheetViews>
  <sheetFormatPr defaultRowHeight="15" x14ac:dyDescent="0.25"/>
  <cols>
    <col min="1" max="16384" width="9.140625" style="59"/>
  </cols>
  <sheetData/>
  <pageMargins left="0.7" right="0.7" top="0.75" bottom="0.75" header="0.3" footer="0.3"/>
  <pageSetup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workbookViewId="0"/>
  </sheetViews>
  <sheetFormatPr defaultRowHeight="15" x14ac:dyDescent="0.25"/>
  <sheetData>
    <row r="2" spans="2:4" x14ac:dyDescent="0.25">
      <c r="B2" t="s">
        <v>159</v>
      </c>
    </row>
    <row r="3" spans="2:4" ht="15.75" thickBot="1" x14ac:dyDescent="0.3"/>
    <row r="4" spans="2:4" ht="15.75" thickTop="1" x14ac:dyDescent="0.25">
      <c r="B4" s="190" t="s">
        <v>160</v>
      </c>
      <c r="C4" s="191"/>
      <c r="D4" s="192"/>
    </row>
    <row r="5" spans="2:4" x14ac:dyDescent="0.25">
      <c r="B5" s="193" t="s">
        <v>72</v>
      </c>
      <c r="C5" s="194"/>
      <c r="D5" s="195">
        <f ca="1">'Portfolio Summary'!D20</f>
        <v>9.6529777558214569E-2</v>
      </c>
    </row>
    <row r="6" spans="2:4" x14ac:dyDescent="0.25">
      <c r="B6" s="193" t="s">
        <v>73</v>
      </c>
      <c r="C6" s="194"/>
      <c r="D6" s="195">
        <f ca="1">'Portfolio Summary'!D24</f>
        <v>0.1324224616089904</v>
      </c>
    </row>
    <row r="7" spans="2:4" x14ac:dyDescent="0.25">
      <c r="B7" s="193" t="s">
        <v>116</v>
      </c>
      <c r="C7" s="194"/>
      <c r="D7" s="196">
        <f>'Portfolio Summary'!D25</f>
        <v>2.764681510144773</v>
      </c>
    </row>
    <row r="8" spans="2:4" x14ac:dyDescent="0.25">
      <c r="B8" s="197"/>
      <c r="C8" s="194"/>
      <c r="D8" s="198"/>
    </row>
    <row r="9" spans="2:4" x14ac:dyDescent="0.25">
      <c r="B9" s="199" t="s">
        <v>161</v>
      </c>
      <c r="C9" s="194"/>
      <c r="D9" s="198"/>
    </row>
    <row r="10" spans="2:4" x14ac:dyDescent="0.25">
      <c r="B10" s="193" t="s">
        <v>74</v>
      </c>
      <c r="C10" s="194"/>
      <c r="D10" s="196">
        <f>'Portfolio Summary'!D28</f>
        <v>2.6418024255649217</v>
      </c>
    </row>
    <row r="11" spans="2:4" ht="15.75" thickBot="1" x14ac:dyDescent="0.3">
      <c r="B11" s="200" t="s">
        <v>75</v>
      </c>
      <c r="C11" s="201"/>
      <c r="D11" s="202">
        <f>'Portfolio Summary'!D29</f>
        <v>0.15609716270507284</v>
      </c>
    </row>
    <row r="12" spans="2:4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24</vt:i4>
      </vt:variant>
    </vt:vector>
  </HeadingPairs>
  <TitlesOfParts>
    <vt:vector size="33" baseType="lpstr">
      <vt:lpstr>Portfolio Summary</vt:lpstr>
      <vt:lpstr>Property Assumptions</vt:lpstr>
      <vt:lpstr>Cash Flow</vt:lpstr>
      <vt:lpstr>Investor Level Returns</vt:lpstr>
      <vt:lpstr>Portfolio Level Returns</vt:lpstr>
      <vt:lpstr>Property Level Returns</vt:lpstr>
      <vt:lpstr>Debt</vt:lpstr>
      <vt:lpstr>Insert ARGUS ---&gt;</vt:lpstr>
      <vt:lpstr>Raw Data</vt:lpstr>
      <vt:lpstr>Analysis_Period</vt:lpstr>
      <vt:lpstr>Analysis_Start</vt:lpstr>
      <vt:lpstr>Basis</vt:lpstr>
      <vt:lpstr>Cap_Year</vt:lpstr>
      <vt:lpstr>Debt!CashFlow_Table</vt:lpstr>
      <vt:lpstr>CashFlow_Table</vt:lpstr>
      <vt:lpstr>CF_Table2</vt:lpstr>
      <vt:lpstr>Debt</vt:lpstr>
      <vt:lpstr>Debt_Table2</vt:lpstr>
      <vt:lpstr>Discount_Rate</vt:lpstr>
      <vt:lpstr>Equity</vt:lpstr>
      <vt:lpstr>Equity_Share_LP</vt:lpstr>
      <vt:lpstr>Equity_Share_Sponsor</vt:lpstr>
      <vt:lpstr>Exit_Cap_Yr_1</vt:lpstr>
      <vt:lpstr>Name</vt:lpstr>
      <vt:lpstr>Number_Properties</vt:lpstr>
      <vt:lpstr>P_List_Table</vt:lpstr>
      <vt:lpstr>P_List_Table_2</vt:lpstr>
      <vt:lpstr>Portfolio_SF</vt:lpstr>
      <vt:lpstr>Preferred_Return</vt:lpstr>
      <vt:lpstr>Promote_Structure</vt:lpstr>
      <vt:lpstr>Property</vt:lpstr>
      <vt:lpstr>Property_Number_List</vt:lpstr>
      <vt:lpstr>Purchase_Price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Portfolio Acquisition Model</dc:title>
  <dc:subject>Real Estate Financial Analysis</dc:subject>
  <dc:creator>Spencer Burton</dc:creator>
  <cp:keywords>commercial real estate</cp:keywords>
  <cp:lastModifiedBy>burton</cp:lastModifiedBy>
  <cp:lastPrinted>2015-04-17T19:16:36Z</cp:lastPrinted>
  <dcterms:created xsi:type="dcterms:W3CDTF">2015-04-17T17:17:24Z</dcterms:created>
  <dcterms:modified xsi:type="dcterms:W3CDTF">2015-10-10T21:42:39Z</dcterms:modified>
</cp:coreProperties>
</file>