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and Group FTP\Dropbox\CRE Financial Models\Website Tutorials\Watch Me Build - Basic MF DCF\"/>
    </mc:Choice>
  </mc:AlternateContent>
  <bookViews>
    <workbookView xWindow="0" yWindow="0" windowWidth="28800" windowHeight="12360"/>
  </bookViews>
  <sheets>
    <sheet name="Sheet1" sheetId="1" r:id="rId1"/>
  </sheets>
  <definedNames>
    <definedName name="Terminal_Cap_Rate">Sheet1!$P$3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1" l="1"/>
  <c r="X5" i="1"/>
  <c r="X4" i="1"/>
  <c r="X3" i="1"/>
  <c r="T6" i="1"/>
  <c r="T5" i="1"/>
  <c r="T4" i="1"/>
  <c r="T3" i="1"/>
  <c r="D60" i="1"/>
  <c r="D49" i="1"/>
  <c r="D59" i="1"/>
  <c r="D58" i="1"/>
  <c r="N58" i="1"/>
  <c r="M58" i="1"/>
  <c r="L58" i="1"/>
  <c r="K58" i="1"/>
  <c r="J58" i="1"/>
  <c r="I58" i="1"/>
  <c r="H58" i="1"/>
  <c r="G58" i="1"/>
  <c r="F58" i="1"/>
  <c r="E58" i="1"/>
  <c r="N57" i="1"/>
  <c r="M57" i="1"/>
  <c r="L57" i="1"/>
  <c r="K57" i="1"/>
  <c r="J57" i="1"/>
  <c r="I57" i="1"/>
  <c r="H57" i="1"/>
  <c r="G57" i="1"/>
  <c r="F57" i="1"/>
  <c r="E57" i="1"/>
  <c r="D57" i="1"/>
  <c r="N56" i="1"/>
  <c r="N55" i="1"/>
  <c r="N54" i="1"/>
  <c r="N53" i="1"/>
  <c r="M53" i="1"/>
  <c r="L53" i="1"/>
  <c r="K53" i="1"/>
  <c r="J53" i="1"/>
  <c r="I53" i="1"/>
  <c r="H53" i="1"/>
  <c r="G53" i="1"/>
  <c r="F53" i="1"/>
  <c r="E53" i="1"/>
  <c r="D52" i="1"/>
  <c r="D51" i="1"/>
  <c r="D48" i="1"/>
  <c r="D47" i="1"/>
  <c r="N47" i="1"/>
  <c r="M47" i="1"/>
  <c r="L47" i="1"/>
  <c r="K47" i="1"/>
  <c r="J47" i="1"/>
  <c r="I47" i="1"/>
  <c r="H47" i="1"/>
  <c r="G47" i="1"/>
  <c r="F47" i="1"/>
  <c r="E47" i="1"/>
  <c r="N46" i="1"/>
  <c r="M46" i="1"/>
  <c r="L46" i="1"/>
  <c r="K46" i="1"/>
  <c r="J46" i="1"/>
  <c r="I46" i="1"/>
  <c r="H46" i="1"/>
  <c r="G46" i="1"/>
  <c r="F46" i="1"/>
  <c r="E46" i="1"/>
  <c r="D46" i="1"/>
  <c r="N45" i="1"/>
  <c r="N44" i="1"/>
  <c r="N43" i="1"/>
  <c r="M43" i="1"/>
  <c r="L43" i="1"/>
  <c r="K43" i="1"/>
  <c r="J43" i="1"/>
  <c r="I43" i="1"/>
  <c r="H43" i="1"/>
  <c r="G43" i="1"/>
  <c r="F43" i="1"/>
  <c r="E43" i="1"/>
  <c r="D42" i="1"/>
  <c r="G41" i="1"/>
  <c r="H41" i="1" s="1"/>
  <c r="I41" i="1" s="1"/>
  <c r="J41" i="1" s="1"/>
  <c r="K41" i="1" s="1"/>
  <c r="L41" i="1" s="1"/>
  <c r="M41" i="1" s="1"/>
  <c r="N41" i="1" s="1"/>
  <c r="F41" i="1"/>
  <c r="N39" i="1"/>
  <c r="M39" i="1"/>
  <c r="L39" i="1"/>
  <c r="K39" i="1"/>
  <c r="J39" i="1"/>
  <c r="I39" i="1"/>
  <c r="H39" i="1"/>
  <c r="G39" i="1"/>
  <c r="F39" i="1"/>
  <c r="E39" i="1"/>
  <c r="N38" i="1"/>
  <c r="M38" i="1"/>
  <c r="L38" i="1"/>
  <c r="K38" i="1"/>
  <c r="J38" i="1"/>
  <c r="I38" i="1"/>
  <c r="H38" i="1"/>
  <c r="G38" i="1"/>
  <c r="F38" i="1"/>
  <c r="E38" i="1"/>
  <c r="N37" i="1"/>
  <c r="M37" i="1"/>
  <c r="L37" i="1"/>
  <c r="K37" i="1"/>
  <c r="J37" i="1"/>
  <c r="I37" i="1"/>
  <c r="H37" i="1"/>
  <c r="G37" i="1"/>
  <c r="F37" i="1"/>
  <c r="E37" i="1"/>
  <c r="H36" i="1"/>
  <c r="I36" i="1" s="1"/>
  <c r="J36" i="1" s="1"/>
  <c r="K36" i="1" s="1"/>
  <c r="L36" i="1" s="1"/>
  <c r="M36" i="1" s="1"/>
  <c r="N36" i="1" s="1"/>
  <c r="G36" i="1"/>
  <c r="F36" i="1"/>
  <c r="N34" i="1"/>
  <c r="M34" i="1"/>
  <c r="L34" i="1"/>
  <c r="K34" i="1"/>
  <c r="J34" i="1"/>
  <c r="I34" i="1"/>
  <c r="H34" i="1"/>
  <c r="G34" i="1"/>
  <c r="F34" i="1"/>
  <c r="E34" i="1"/>
  <c r="N33" i="1"/>
  <c r="M33" i="1"/>
  <c r="L33" i="1"/>
  <c r="K33" i="1"/>
  <c r="J33" i="1"/>
  <c r="I33" i="1"/>
  <c r="H33" i="1"/>
  <c r="G33" i="1"/>
  <c r="F33" i="1"/>
  <c r="E33" i="1"/>
  <c r="G30" i="1"/>
  <c r="G31" i="1" s="1"/>
  <c r="F31" i="1"/>
  <c r="E31" i="1"/>
  <c r="F30" i="1"/>
  <c r="E30" i="1"/>
  <c r="O29" i="1"/>
  <c r="N29" i="1"/>
  <c r="M29" i="1"/>
  <c r="L29" i="1"/>
  <c r="K29" i="1"/>
  <c r="J29" i="1"/>
  <c r="I29" i="1"/>
  <c r="H29" i="1"/>
  <c r="G29" i="1"/>
  <c r="F29" i="1"/>
  <c r="E29" i="1"/>
  <c r="G26" i="1"/>
  <c r="H26" i="1" s="1"/>
  <c r="I26" i="1" s="1"/>
  <c r="J26" i="1" s="1"/>
  <c r="K26" i="1" s="1"/>
  <c r="L26" i="1" s="1"/>
  <c r="M26" i="1" s="1"/>
  <c r="N26" i="1" s="1"/>
  <c r="O26" i="1" s="1"/>
  <c r="G25" i="1"/>
  <c r="H25" i="1" s="1"/>
  <c r="I25" i="1" s="1"/>
  <c r="J25" i="1" s="1"/>
  <c r="K25" i="1" s="1"/>
  <c r="L25" i="1" s="1"/>
  <c r="M25" i="1" s="1"/>
  <c r="N25" i="1" s="1"/>
  <c r="O25" i="1" s="1"/>
  <c r="G24" i="1"/>
  <c r="H24" i="1" s="1"/>
  <c r="I24" i="1" s="1"/>
  <c r="J24" i="1" s="1"/>
  <c r="K24" i="1" s="1"/>
  <c r="L24" i="1" s="1"/>
  <c r="M24" i="1" s="1"/>
  <c r="N24" i="1" s="1"/>
  <c r="O24" i="1" s="1"/>
  <c r="H23" i="1"/>
  <c r="I23" i="1" s="1"/>
  <c r="J23" i="1" s="1"/>
  <c r="K23" i="1" s="1"/>
  <c r="L23" i="1" s="1"/>
  <c r="M23" i="1" s="1"/>
  <c r="N23" i="1" s="1"/>
  <c r="O23" i="1" s="1"/>
  <c r="G23" i="1"/>
  <c r="G22" i="1"/>
  <c r="H22" i="1" s="1"/>
  <c r="I22" i="1" s="1"/>
  <c r="J22" i="1" s="1"/>
  <c r="K22" i="1" s="1"/>
  <c r="L22" i="1" s="1"/>
  <c r="M22" i="1" s="1"/>
  <c r="N22" i="1" s="1"/>
  <c r="O22" i="1" s="1"/>
  <c r="G21" i="1"/>
  <c r="G27" i="1" s="1"/>
  <c r="F27" i="1"/>
  <c r="F26" i="1"/>
  <c r="F25" i="1"/>
  <c r="F24" i="1"/>
  <c r="F23" i="1"/>
  <c r="F22" i="1"/>
  <c r="F21" i="1"/>
  <c r="E27" i="1"/>
  <c r="E24" i="1"/>
  <c r="H20" i="1"/>
  <c r="I20" i="1" s="1"/>
  <c r="J20" i="1" s="1"/>
  <c r="K20" i="1" s="1"/>
  <c r="L20" i="1" s="1"/>
  <c r="M20" i="1" s="1"/>
  <c r="N20" i="1" s="1"/>
  <c r="O20" i="1" s="1"/>
  <c r="G20" i="1"/>
  <c r="O18" i="1"/>
  <c r="N18" i="1"/>
  <c r="K18" i="1"/>
  <c r="J18" i="1"/>
  <c r="G18" i="1"/>
  <c r="F18" i="1"/>
  <c r="O17" i="1"/>
  <c r="N17" i="1"/>
  <c r="M17" i="1"/>
  <c r="M18" i="1" s="1"/>
  <c r="L17" i="1"/>
  <c r="L18" i="1" s="1"/>
  <c r="K17" i="1"/>
  <c r="J17" i="1"/>
  <c r="I17" i="1"/>
  <c r="I18" i="1" s="1"/>
  <c r="H17" i="1"/>
  <c r="H18" i="1" s="1"/>
  <c r="G17" i="1"/>
  <c r="F17" i="1"/>
  <c r="E18" i="1"/>
  <c r="E17" i="1"/>
  <c r="K16" i="1"/>
  <c r="L16" i="1" s="1"/>
  <c r="M16" i="1" s="1"/>
  <c r="N16" i="1" s="1"/>
  <c r="O16" i="1" s="1"/>
  <c r="J16" i="1"/>
  <c r="G13" i="1"/>
  <c r="H13" i="1" s="1"/>
  <c r="I13" i="1" s="1"/>
  <c r="J13" i="1" s="1"/>
  <c r="K13" i="1" s="1"/>
  <c r="L13" i="1" s="1"/>
  <c r="M13" i="1" s="1"/>
  <c r="N13" i="1" s="1"/>
  <c r="O13" i="1" s="1"/>
  <c r="G12" i="1"/>
  <c r="H12" i="1" s="1"/>
  <c r="I12" i="1" s="1"/>
  <c r="J12" i="1" s="1"/>
  <c r="K12" i="1" s="1"/>
  <c r="L12" i="1" s="1"/>
  <c r="M12" i="1" s="1"/>
  <c r="N12" i="1" s="1"/>
  <c r="O12" i="1" s="1"/>
  <c r="G11" i="1"/>
  <c r="G14" i="1" s="1"/>
  <c r="F14" i="1"/>
  <c r="F13" i="1"/>
  <c r="F12" i="1"/>
  <c r="F11" i="1"/>
  <c r="E11" i="1"/>
  <c r="E14" i="1"/>
  <c r="E13" i="1"/>
  <c r="J10" i="1"/>
  <c r="K10" i="1" s="1"/>
  <c r="L10" i="1" s="1"/>
  <c r="M10" i="1" s="1"/>
  <c r="N10" i="1" s="1"/>
  <c r="O10" i="1" s="1"/>
  <c r="I10" i="1"/>
  <c r="G9" i="1"/>
  <c r="H9" i="1" s="1"/>
  <c r="I9" i="1" s="1"/>
  <c r="J9" i="1" s="1"/>
  <c r="K9" i="1" s="1"/>
  <c r="L9" i="1" s="1"/>
  <c r="M9" i="1" s="1"/>
  <c r="N9" i="1" s="1"/>
  <c r="O9" i="1" s="1"/>
  <c r="F9" i="1"/>
  <c r="H6" i="1"/>
  <c r="H3" i="1"/>
  <c r="D4" i="1"/>
  <c r="L7" i="1"/>
  <c r="K7" i="1"/>
  <c r="H30" i="1" l="1"/>
  <c r="H21" i="1"/>
  <c r="H11" i="1"/>
  <c r="H31" i="1" l="1"/>
  <c r="I30" i="1"/>
  <c r="I21" i="1"/>
  <c r="H27" i="1"/>
  <c r="I11" i="1"/>
  <c r="H14" i="1"/>
  <c r="I31" i="1" l="1"/>
  <c r="J30" i="1"/>
  <c r="J21" i="1"/>
  <c r="I27" i="1"/>
  <c r="J11" i="1"/>
  <c r="I14" i="1"/>
  <c r="J31" i="1" l="1"/>
  <c r="K30" i="1"/>
  <c r="K21" i="1"/>
  <c r="J27" i="1"/>
  <c r="J14" i="1"/>
  <c r="K11" i="1"/>
  <c r="K31" i="1" l="1"/>
  <c r="L30" i="1"/>
  <c r="K27" i="1"/>
  <c r="L21" i="1"/>
  <c r="K14" i="1"/>
  <c r="L11" i="1"/>
  <c r="L31" i="1" l="1"/>
  <c r="M30" i="1"/>
  <c r="M21" i="1"/>
  <c r="L27" i="1"/>
  <c r="M11" i="1"/>
  <c r="L14" i="1"/>
  <c r="M31" i="1" l="1"/>
  <c r="N30" i="1"/>
  <c r="M27" i="1"/>
  <c r="N21" i="1"/>
  <c r="N11" i="1"/>
  <c r="M14" i="1"/>
  <c r="N31" i="1" l="1"/>
  <c r="N27" i="1"/>
  <c r="O21" i="1"/>
  <c r="O27" i="1" s="1"/>
  <c r="N14" i="1"/>
  <c r="O11" i="1"/>
  <c r="O14" i="1" s="1"/>
</calcChain>
</file>

<file path=xl/sharedStrings.xml><?xml version="1.0" encoding="utf-8"?>
<sst xmlns="http://schemas.openxmlformats.org/spreadsheetml/2006/main" count="79" uniqueCount="68">
  <si>
    <t>Property Name</t>
  </si>
  <si>
    <t>Number of Units</t>
  </si>
  <si>
    <t>Purchase Price</t>
  </si>
  <si>
    <t>Going-in Cap Rate</t>
  </si>
  <si>
    <t>Debt</t>
  </si>
  <si>
    <t>Loan Amount</t>
  </si>
  <si>
    <t>Interest Rate</t>
  </si>
  <si>
    <t>Amortization</t>
  </si>
  <si>
    <t>Monthly Payment</t>
  </si>
  <si>
    <t>Rent Roll</t>
  </si>
  <si>
    <t>Type</t>
  </si>
  <si>
    <t>Units</t>
  </si>
  <si>
    <t>Mo. Rent</t>
  </si>
  <si>
    <t>Residual Value</t>
  </si>
  <si>
    <t>Terminal Cap Rate</t>
  </si>
  <si>
    <t>Selling Costs</t>
  </si>
  <si>
    <t>Summary of Risk and Returns</t>
  </si>
  <si>
    <t>Unlevered IRR</t>
  </si>
  <si>
    <t>Unlevered EMx</t>
  </si>
  <si>
    <t>Levered IRR</t>
  </si>
  <si>
    <t>Levered EMx</t>
  </si>
  <si>
    <t>Avg. Free and Clear</t>
  </si>
  <si>
    <t>Election Heights</t>
  </si>
  <si>
    <t>Studio</t>
  </si>
  <si>
    <t>1bd/1ba</t>
  </si>
  <si>
    <t>Total</t>
  </si>
  <si>
    <t>Assumption</t>
  </si>
  <si>
    <t>2bd/1ba</t>
  </si>
  <si>
    <t>Income</t>
  </si>
  <si>
    <t>Rent</t>
  </si>
  <si>
    <t>Other Income</t>
  </si>
  <si>
    <t>Recoveries</t>
  </si>
  <si>
    <t>Potential Gross Income</t>
  </si>
  <si>
    <t>Vacancy</t>
  </si>
  <si>
    <t>Effective Gross Income</t>
  </si>
  <si>
    <t>Expenses</t>
  </si>
  <si>
    <t>Marketing</t>
  </si>
  <si>
    <t>Payroll</t>
  </si>
  <si>
    <t>Repairs and Maintenance</t>
  </si>
  <si>
    <t>Management</t>
  </si>
  <si>
    <t>Insurance</t>
  </si>
  <si>
    <t>Prop. Taxes</t>
  </si>
  <si>
    <t>Operating Expenses</t>
  </si>
  <si>
    <t>Net Operating Income</t>
  </si>
  <si>
    <t xml:space="preserve">CapEx </t>
  </si>
  <si>
    <t>Cash Flow from Operations</t>
  </si>
  <si>
    <t>Debt Service</t>
  </si>
  <si>
    <t>Before Tax Cash Flow</t>
  </si>
  <si>
    <t>Inflation</t>
  </si>
  <si>
    <t>Avg. Cash-on-Cash</t>
  </si>
  <si>
    <t>Min DSCR</t>
  </si>
  <si>
    <t>Min DY</t>
  </si>
  <si>
    <t>Risk</t>
  </si>
  <si>
    <t>Year 0</t>
  </si>
  <si>
    <t>Loan Balance</t>
  </si>
  <si>
    <t>DSCR</t>
  </si>
  <si>
    <t>Debt Yield</t>
  </si>
  <si>
    <t>Returns</t>
  </si>
  <si>
    <t>Purchase</t>
  </si>
  <si>
    <t>Sale</t>
  </si>
  <si>
    <t>Total Unlevered Cash Flow</t>
  </si>
  <si>
    <t>Free and Clear Return</t>
  </si>
  <si>
    <t>Unlevered Equity Multiple</t>
  </si>
  <si>
    <t>Loan Funding</t>
  </si>
  <si>
    <t>Loan Payoff</t>
  </si>
  <si>
    <t>Total Levered Cash Flow</t>
  </si>
  <si>
    <t>Cash-on-Cash Return</t>
  </si>
  <si>
    <t>Levered Equity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</si>
</sst>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165" formatCode="0.0%"/>
    <numFmt numFmtId="168" formatCode="0\ &quot;months&quot;"/>
    <numFmt numFmtId="169" formatCode="&quot;Year&quot;\ 0"/>
    <numFmt numFmtId="170" formatCode="0.00&quot;X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12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6" fontId="3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6" fontId="2" fillId="0" borderId="0" xfId="0" applyNumberFormat="1" applyFont="1" applyFill="1"/>
    <xf numFmtId="165" fontId="2" fillId="0" borderId="0" xfId="0" applyNumberFormat="1" applyFont="1" applyFill="1"/>
    <xf numFmtId="168" fontId="2" fillId="0" borderId="0" xfId="0" applyNumberFormat="1" applyFont="1" applyFill="1"/>
    <xf numFmtId="6" fontId="5" fillId="0" borderId="0" xfId="0" applyNumberFormat="1" applyFont="1" applyFill="1"/>
    <xf numFmtId="169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right" vertical="top"/>
    </xf>
    <xf numFmtId="165" fontId="7" fillId="0" borderId="0" xfId="0" applyNumberFormat="1" applyFont="1" applyFill="1"/>
    <xf numFmtId="6" fontId="4" fillId="0" borderId="0" xfId="0" applyNumberFormat="1" applyFont="1" applyFill="1"/>
    <xf numFmtId="6" fontId="8" fillId="0" borderId="0" xfId="0" applyNumberFormat="1" applyFont="1" applyFill="1"/>
    <xf numFmtId="5" fontId="3" fillId="0" borderId="0" xfId="0" applyNumberFormat="1" applyFont="1" applyFill="1"/>
    <xf numFmtId="170" fontId="3" fillId="0" borderId="0" xfId="0" applyNumberFormat="1" applyFont="1" applyFill="1"/>
    <xf numFmtId="10" fontId="3" fillId="0" borderId="0" xfId="0" applyNumberFormat="1" applyFont="1" applyFill="1"/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indent="1"/>
    </xf>
    <xf numFmtId="0" fontId="0" fillId="0" borderId="0" xfId="0" applyAlignment="1"/>
    <xf numFmtId="5" fontId="4" fillId="0" borderId="0" xfId="0" applyNumberFormat="1" applyFont="1" applyFill="1"/>
    <xf numFmtId="10" fontId="4" fillId="0" borderId="0" xfId="0" applyNumberFormat="1" applyFont="1" applyFill="1"/>
    <xf numFmtId="170" fontId="4" fillId="0" borderId="0" xfId="0" applyNumberFormat="1" applyFont="1" applyFill="1"/>
    <xf numFmtId="0" fontId="3" fillId="0" borderId="1" xfId="0" applyFont="1" applyFill="1" applyBorder="1"/>
    <xf numFmtId="0" fontId="3" fillId="0" borderId="0" xfId="0" applyFont="1" applyFill="1" applyBorder="1"/>
    <xf numFmtId="10" fontId="3" fillId="0" borderId="0" xfId="0" applyNumberFormat="1" applyFont="1" applyFill="1" applyBorder="1"/>
    <xf numFmtId="10" fontId="3" fillId="0" borderId="2" xfId="0" applyNumberFormat="1" applyFont="1" applyFill="1" applyBorder="1"/>
    <xf numFmtId="170" fontId="3" fillId="0" borderId="0" xfId="0" applyNumberFormat="1" applyFont="1" applyFill="1" applyBorder="1"/>
    <xf numFmtId="170" fontId="3" fillId="0" borderId="2" xfId="0" applyNumberFormat="1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170" fontId="3" fillId="0" borderId="4" xfId="0" applyNumberFormat="1" applyFont="1" applyFill="1" applyBorder="1"/>
    <xf numFmtId="10" fontId="3" fillId="0" borderId="5" xfId="0" applyNumberFormat="1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4" fillId="0" borderId="6" xfId="0" applyFont="1" applyFill="1" applyBorder="1"/>
    <xf numFmtId="0" fontId="4" fillId="0" borderId="4" xfId="0" applyFont="1" applyFill="1" applyBorder="1"/>
    <xf numFmtId="169" fontId="3" fillId="0" borderId="4" xfId="0" applyNumberFormat="1" applyFont="1" applyFill="1" applyBorder="1"/>
    <xf numFmtId="0" fontId="4" fillId="0" borderId="4" xfId="0" applyFont="1" applyFill="1" applyBorder="1" applyAlignment="1">
      <alignment horizontal="right"/>
    </xf>
    <xf numFmtId="169" fontId="4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0"/>
  <sheetViews>
    <sheetView showGridLines="0" tabSelected="1" zoomScale="85" zoomScaleNormal="85" workbookViewId="0">
      <selection activeCell="E37" sqref="E37"/>
    </sheetView>
  </sheetViews>
  <sheetFormatPr defaultRowHeight="15" x14ac:dyDescent="0.25"/>
  <cols>
    <col min="1" max="1" width="3.5703125" style="2" customWidth="1"/>
    <col min="2" max="2" width="17.5703125" style="2" customWidth="1"/>
    <col min="3" max="3" width="9.140625" style="2"/>
    <col min="4" max="4" width="11.5703125" style="2" bestFit="1" customWidth="1"/>
    <col min="5" max="5" width="15.28515625" style="2" bestFit="1" customWidth="1"/>
    <col min="6" max="6" width="11.85546875" style="2" bestFit="1" customWidth="1"/>
    <col min="7" max="13" width="11.42578125" style="2" customWidth="1"/>
    <col min="14" max="14" width="12.28515625" style="2" customWidth="1"/>
    <col min="15" max="15" width="11.42578125" style="2" customWidth="1"/>
    <col min="16" max="16384" width="9.140625" style="2"/>
  </cols>
  <sheetData>
    <row r="2" spans="2:24" x14ac:dyDescent="0.25">
      <c r="B2" s="42" t="s">
        <v>26</v>
      </c>
      <c r="C2" s="42"/>
      <c r="D2" s="42"/>
      <c r="E2" s="42"/>
      <c r="F2" s="42" t="s">
        <v>4</v>
      </c>
      <c r="G2" s="42"/>
      <c r="H2" s="42"/>
      <c r="I2" s="42"/>
      <c r="J2" s="42" t="s">
        <v>9</v>
      </c>
      <c r="K2" s="42"/>
      <c r="L2" s="42"/>
      <c r="M2" s="42"/>
      <c r="N2" s="42" t="s">
        <v>13</v>
      </c>
      <c r="O2" s="36"/>
      <c r="P2" s="36"/>
      <c r="R2" s="41" t="s">
        <v>16</v>
      </c>
      <c r="S2" s="39"/>
      <c r="T2" s="39"/>
      <c r="U2" s="39"/>
      <c r="V2" s="39"/>
      <c r="W2" s="39"/>
      <c r="X2" s="40"/>
    </row>
    <row r="3" spans="2:24" x14ac:dyDescent="0.25">
      <c r="B3" s="2" t="s">
        <v>0</v>
      </c>
      <c r="D3" s="1" t="s">
        <v>22</v>
      </c>
      <c r="F3" s="2" t="s">
        <v>5</v>
      </c>
      <c r="H3" s="6">
        <f>D5*0.75</f>
        <v>6937500</v>
      </c>
      <c r="J3" s="2" t="s">
        <v>10</v>
      </c>
      <c r="K3" s="2" t="s">
        <v>11</v>
      </c>
      <c r="L3" s="2" t="s">
        <v>12</v>
      </c>
      <c r="N3" s="2" t="s">
        <v>14</v>
      </c>
      <c r="P3" s="7">
        <v>5.5E-2</v>
      </c>
      <c r="R3" s="29" t="s">
        <v>17</v>
      </c>
      <c r="S3" s="30"/>
      <c r="T3" s="31">
        <f>D48</f>
        <v>8.3666830116978508E-2</v>
      </c>
      <c r="U3" s="30"/>
      <c r="V3" s="30" t="s">
        <v>21</v>
      </c>
      <c r="W3" s="30"/>
      <c r="X3" s="32">
        <f>D47</f>
        <v>6.3469129141621533E-2</v>
      </c>
    </row>
    <row r="4" spans="2:24" x14ac:dyDescent="0.25">
      <c r="B4" s="2" t="s">
        <v>1</v>
      </c>
      <c r="D4" s="2">
        <f>K7</f>
        <v>50</v>
      </c>
      <c r="F4" s="2" t="s">
        <v>6</v>
      </c>
      <c r="H4" s="7">
        <v>0.04</v>
      </c>
      <c r="J4" s="1" t="s">
        <v>23</v>
      </c>
      <c r="K4" s="1">
        <v>15</v>
      </c>
      <c r="L4" s="6">
        <v>1200</v>
      </c>
      <c r="N4" s="2" t="s">
        <v>15</v>
      </c>
      <c r="P4" s="7">
        <v>1.4999999999999999E-2</v>
      </c>
      <c r="R4" s="29" t="s">
        <v>18</v>
      </c>
      <c r="S4" s="30"/>
      <c r="T4" s="33">
        <f>D49</f>
        <v>1.94922921915527</v>
      </c>
      <c r="U4" s="30"/>
      <c r="V4" s="30" t="s">
        <v>49</v>
      </c>
      <c r="W4" s="30"/>
      <c r="X4" s="32">
        <f>D58</f>
        <v>8.2007010198920732E-2</v>
      </c>
    </row>
    <row r="5" spans="2:24" x14ac:dyDescent="0.25">
      <c r="B5" s="2" t="s">
        <v>2</v>
      </c>
      <c r="D5" s="6">
        <v>9250000</v>
      </c>
      <c r="F5" s="2" t="s">
        <v>7</v>
      </c>
      <c r="H5" s="8">
        <v>360</v>
      </c>
      <c r="J5" s="1" t="s">
        <v>24</v>
      </c>
      <c r="K5" s="1">
        <v>25</v>
      </c>
      <c r="L5" s="6">
        <v>1500</v>
      </c>
      <c r="R5" s="29" t="s">
        <v>19</v>
      </c>
      <c r="S5" s="30"/>
      <c r="T5" s="31">
        <f>D59</f>
        <v>0.16172201987567369</v>
      </c>
      <c r="U5" s="30"/>
      <c r="V5" s="30" t="s">
        <v>50</v>
      </c>
      <c r="W5" s="30"/>
      <c r="X5" s="34">
        <f>MIN(E38:N38)</f>
        <v>1.2917076005378676</v>
      </c>
    </row>
    <row r="6" spans="2:24" x14ac:dyDescent="0.25">
      <c r="B6" s="2" t="s">
        <v>3</v>
      </c>
      <c r="D6" s="7">
        <v>5.5E-2</v>
      </c>
      <c r="F6" s="2" t="s">
        <v>8</v>
      </c>
      <c r="H6" s="3">
        <f>PMT(H4/12,H5,-H3)</f>
        <v>33120.686122916253</v>
      </c>
      <c r="J6" s="5" t="s">
        <v>27</v>
      </c>
      <c r="K6" s="5">
        <v>10</v>
      </c>
      <c r="L6" s="9">
        <v>1800</v>
      </c>
      <c r="R6" s="35" t="s">
        <v>20</v>
      </c>
      <c r="S6" s="36"/>
      <c r="T6" s="37">
        <f>D60</f>
        <v>3.7147030365979488</v>
      </c>
      <c r="U6" s="36"/>
      <c r="V6" s="36" t="s">
        <v>51</v>
      </c>
      <c r="W6" s="36"/>
      <c r="X6" s="38">
        <f>MIN(E39:N39)</f>
        <v>7.5328274245901175E-2</v>
      </c>
    </row>
    <row r="7" spans="2:24" x14ac:dyDescent="0.25">
      <c r="J7" s="2" t="s">
        <v>25</v>
      </c>
      <c r="K7" s="2">
        <f>SUM(K4:K6)</f>
        <v>50</v>
      </c>
      <c r="L7" s="3">
        <f>SUMPRODUCT(L4:L6,K4:K6)</f>
        <v>73500</v>
      </c>
    </row>
    <row r="9" spans="2:24" x14ac:dyDescent="0.25">
      <c r="B9" s="36"/>
      <c r="C9" s="36"/>
      <c r="D9" s="36"/>
      <c r="E9" s="43">
        <v>1</v>
      </c>
      <c r="F9" s="43">
        <f>E9+1</f>
        <v>2</v>
      </c>
      <c r="G9" s="43">
        <f t="shared" ref="G9:R9" si="0">F9+1</f>
        <v>3</v>
      </c>
      <c r="H9" s="43">
        <f t="shared" si="0"/>
        <v>4</v>
      </c>
      <c r="I9" s="43">
        <f t="shared" si="0"/>
        <v>5</v>
      </c>
      <c r="J9" s="43">
        <f t="shared" si="0"/>
        <v>6</v>
      </c>
      <c r="K9" s="43">
        <f t="shared" si="0"/>
        <v>7</v>
      </c>
      <c r="L9" s="43">
        <f t="shared" si="0"/>
        <v>8</v>
      </c>
      <c r="M9" s="43">
        <f t="shared" si="0"/>
        <v>9</v>
      </c>
      <c r="N9" s="43">
        <f t="shared" si="0"/>
        <v>10</v>
      </c>
      <c r="O9" s="43">
        <f t="shared" si="0"/>
        <v>11</v>
      </c>
      <c r="P9" s="43"/>
      <c r="Q9" s="10"/>
      <c r="R9" s="10"/>
    </row>
    <row r="10" spans="2:24" x14ac:dyDescent="0.25">
      <c r="B10" s="2" t="s">
        <v>28</v>
      </c>
      <c r="D10" s="12" t="s">
        <v>48</v>
      </c>
      <c r="E10" s="13">
        <v>0</v>
      </c>
      <c r="F10" s="13">
        <v>0.04</v>
      </c>
      <c r="G10" s="13">
        <v>0.03</v>
      </c>
      <c r="H10" s="13">
        <v>0.02</v>
      </c>
      <c r="I10" s="13">
        <f>H10</f>
        <v>0.02</v>
      </c>
      <c r="J10" s="13">
        <f t="shared" ref="J10:O10" si="1">I10</f>
        <v>0.02</v>
      </c>
      <c r="K10" s="13">
        <f t="shared" si="1"/>
        <v>0.02</v>
      </c>
      <c r="L10" s="13">
        <f t="shared" si="1"/>
        <v>0.02</v>
      </c>
      <c r="M10" s="13">
        <f t="shared" si="1"/>
        <v>0.02</v>
      </c>
      <c r="N10" s="13">
        <f t="shared" si="1"/>
        <v>0.02</v>
      </c>
      <c r="O10" s="13">
        <f t="shared" si="1"/>
        <v>0.02</v>
      </c>
    </row>
    <row r="11" spans="2:24" x14ac:dyDescent="0.25">
      <c r="B11" s="11" t="s">
        <v>29</v>
      </c>
      <c r="E11" s="3">
        <f>$L$7*12</f>
        <v>882000</v>
      </c>
      <c r="F11" s="3">
        <f>E11*(1+F$10)</f>
        <v>917280</v>
      </c>
      <c r="G11" s="3">
        <f t="shared" ref="G11:O11" si="2">F11*(1+G$10)</f>
        <v>944798.4</v>
      </c>
      <c r="H11" s="3">
        <f t="shared" si="2"/>
        <v>963694.36800000002</v>
      </c>
      <c r="I11" s="3">
        <f t="shared" si="2"/>
        <v>982968.25536000007</v>
      </c>
      <c r="J11" s="3">
        <f t="shared" si="2"/>
        <v>1002627.6204672001</v>
      </c>
      <c r="K11" s="3">
        <f t="shared" si="2"/>
        <v>1022680.1728765441</v>
      </c>
      <c r="L11" s="3">
        <f t="shared" si="2"/>
        <v>1043133.7763340749</v>
      </c>
      <c r="M11" s="3">
        <f t="shared" si="2"/>
        <v>1063996.4518607564</v>
      </c>
      <c r="N11" s="3">
        <f t="shared" si="2"/>
        <v>1085276.3808979716</v>
      </c>
      <c r="O11" s="3">
        <f t="shared" si="2"/>
        <v>1106981.9085159311</v>
      </c>
    </row>
    <row r="12" spans="2:24" x14ac:dyDescent="0.25">
      <c r="B12" s="11" t="s">
        <v>30</v>
      </c>
      <c r="E12" s="6">
        <v>26460</v>
      </c>
      <c r="F12" s="3">
        <f t="shared" ref="F12:O13" si="3">E12*(1+F$10)</f>
        <v>27518.400000000001</v>
      </c>
      <c r="G12" s="3">
        <f t="shared" si="3"/>
        <v>28343.952000000001</v>
      </c>
      <c r="H12" s="3">
        <f t="shared" si="3"/>
        <v>28910.831040000001</v>
      </c>
      <c r="I12" s="3">
        <f t="shared" si="3"/>
        <v>29489.047660800003</v>
      </c>
      <c r="J12" s="3">
        <f t="shared" si="3"/>
        <v>30078.828614016002</v>
      </c>
      <c r="K12" s="3">
        <f t="shared" si="3"/>
        <v>30680.405186296321</v>
      </c>
      <c r="L12" s="3">
        <f t="shared" si="3"/>
        <v>31294.013290022249</v>
      </c>
      <c r="M12" s="3">
        <f t="shared" si="3"/>
        <v>31919.893555822695</v>
      </c>
      <c r="N12" s="3">
        <f t="shared" si="3"/>
        <v>32558.291426939148</v>
      </c>
      <c r="O12" s="3">
        <f t="shared" si="3"/>
        <v>33209.45725547793</v>
      </c>
    </row>
    <row r="13" spans="2:24" x14ac:dyDescent="0.25">
      <c r="B13" s="11" t="s">
        <v>31</v>
      </c>
      <c r="E13" s="9">
        <f>$K$7*60</f>
        <v>3000</v>
      </c>
      <c r="F13" s="15">
        <f t="shared" si="3"/>
        <v>3120</v>
      </c>
      <c r="G13" s="15">
        <f t="shared" si="3"/>
        <v>3213.6</v>
      </c>
      <c r="H13" s="15">
        <f t="shared" si="3"/>
        <v>3277.8719999999998</v>
      </c>
      <c r="I13" s="15">
        <f t="shared" si="3"/>
        <v>3343.4294399999999</v>
      </c>
      <c r="J13" s="15">
        <f t="shared" si="3"/>
        <v>3410.2980287999999</v>
      </c>
      <c r="K13" s="15">
        <f t="shared" si="3"/>
        <v>3478.5039893759999</v>
      </c>
      <c r="L13" s="15">
        <f t="shared" si="3"/>
        <v>3548.0740691635201</v>
      </c>
      <c r="M13" s="15">
        <f t="shared" si="3"/>
        <v>3619.0355505467905</v>
      </c>
      <c r="N13" s="15">
        <f t="shared" si="3"/>
        <v>3691.4162615577266</v>
      </c>
      <c r="O13" s="15">
        <f t="shared" si="3"/>
        <v>3765.244586788881</v>
      </c>
    </row>
    <row r="14" spans="2:24" s="4" customFormat="1" x14ac:dyDescent="0.25">
      <c r="B14" s="4" t="s">
        <v>32</v>
      </c>
      <c r="E14" s="14">
        <f>SUM(E11:E13)</f>
        <v>911460</v>
      </c>
      <c r="F14" s="14">
        <f>SUM(F11:F13)</f>
        <v>947918.4</v>
      </c>
      <c r="G14" s="14">
        <f t="shared" ref="G14:O14" si="4">SUM(G11:G13)</f>
        <v>976355.95200000005</v>
      </c>
      <c r="H14" s="14">
        <f t="shared" si="4"/>
        <v>995883.07103999995</v>
      </c>
      <c r="I14" s="14">
        <f t="shared" si="4"/>
        <v>1015800.7324608001</v>
      </c>
      <c r="J14" s="14">
        <f t="shared" si="4"/>
        <v>1036116.7471100161</v>
      </c>
      <c r="K14" s="14">
        <f t="shared" si="4"/>
        <v>1056839.0820522162</v>
      </c>
      <c r="L14" s="14">
        <f t="shared" si="4"/>
        <v>1077975.8636932606</v>
      </c>
      <c r="M14" s="14">
        <f t="shared" si="4"/>
        <v>1099535.380967126</v>
      </c>
      <c r="N14" s="14">
        <f t="shared" si="4"/>
        <v>1121526.0885864685</v>
      </c>
      <c r="O14" s="14">
        <f t="shared" si="4"/>
        <v>1143956.6103581979</v>
      </c>
    </row>
    <row r="16" spans="2:24" x14ac:dyDescent="0.25">
      <c r="D16" s="12" t="s">
        <v>33</v>
      </c>
      <c r="E16" s="13">
        <v>0.08</v>
      </c>
      <c r="F16" s="13">
        <v>0.08</v>
      </c>
      <c r="G16" s="13">
        <v>7.0000000000000007E-2</v>
      </c>
      <c r="H16" s="13">
        <v>7.0000000000000007E-2</v>
      </c>
      <c r="I16" s="13">
        <v>0.06</v>
      </c>
      <c r="J16" s="13">
        <f>I16</f>
        <v>0.06</v>
      </c>
      <c r="K16" s="13">
        <f t="shared" ref="K16:O16" si="5">J16</f>
        <v>0.06</v>
      </c>
      <c r="L16" s="13">
        <f t="shared" si="5"/>
        <v>0.06</v>
      </c>
      <c r="M16" s="13">
        <f t="shared" si="5"/>
        <v>0.06</v>
      </c>
      <c r="N16" s="13">
        <f t="shared" si="5"/>
        <v>0.06</v>
      </c>
      <c r="O16" s="13">
        <f t="shared" si="5"/>
        <v>0.06</v>
      </c>
    </row>
    <row r="17" spans="2:15" x14ac:dyDescent="0.25">
      <c r="B17" s="11" t="s">
        <v>33</v>
      </c>
      <c r="E17" s="15">
        <f>E14*E16</f>
        <v>72916.800000000003</v>
      </c>
      <c r="F17" s="15">
        <f t="shared" ref="F17:O17" si="6">F14*F16</f>
        <v>75833.472000000009</v>
      </c>
      <c r="G17" s="15">
        <f t="shared" si="6"/>
        <v>68344.91664000001</v>
      </c>
      <c r="H17" s="15">
        <f t="shared" si="6"/>
        <v>69711.814972799999</v>
      </c>
      <c r="I17" s="15">
        <f t="shared" si="6"/>
        <v>60948.043947648002</v>
      </c>
      <c r="J17" s="15">
        <f t="shared" si="6"/>
        <v>62167.004826600962</v>
      </c>
      <c r="K17" s="15">
        <f t="shared" si="6"/>
        <v>63410.344923132965</v>
      </c>
      <c r="L17" s="15">
        <f t="shared" si="6"/>
        <v>64678.551821595633</v>
      </c>
      <c r="M17" s="15">
        <f t="shared" si="6"/>
        <v>65972.122858027564</v>
      </c>
      <c r="N17" s="15">
        <f t="shared" si="6"/>
        <v>67291.565315188112</v>
      </c>
      <c r="O17" s="15">
        <f t="shared" si="6"/>
        <v>68637.396621491876</v>
      </c>
    </row>
    <row r="18" spans="2:15" s="4" customFormat="1" x14ac:dyDescent="0.25">
      <c r="B18" s="4" t="s">
        <v>34</v>
      </c>
      <c r="E18" s="14">
        <f>E14-E17</f>
        <v>838543.2</v>
      </c>
      <c r="F18" s="14">
        <f t="shared" ref="F18:O18" si="7">F14-F17</f>
        <v>872084.92800000007</v>
      </c>
      <c r="G18" s="14">
        <f t="shared" si="7"/>
        <v>908011.0353600001</v>
      </c>
      <c r="H18" s="14">
        <f t="shared" si="7"/>
        <v>926171.25606719998</v>
      </c>
      <c r="I18" s="14">
        <f t="shared" si="7"/>
        <v>954852.68851315207</v>
      </c>
      <c r="J18" s="14">
        <f t="shared" si="7"/>
        <v>973949.74228341505</v>
      </c>
      <c r="K18" s="14">
        <f t="shared" si="7"/>
        <v>993428.73712908325</v>
      </c>
      <c r="L18" s="14">
        <f t="shared" si="7"/>
        <v>1013297.3118716649</v>
      </c>
      <c r="M18" s="14">
        <f t="shared" si="7"/>
        <v>1033563.2581090984</v>
      </c>
      <c r="N18" s="14">
        <f t="shared" si="7"/>
        <v>1054234.5232712803</v>
      </c>
      <c r="O18" s="14">
        <f t="shared" si="7"/>
        <v>1075319.2137367059</v>
      </c>
    </row>
    <row r="20" spans="2:15" x14ac:dyDescent="0.25">
      <c r="B20" s="2" t="s">
        <v>35</v>
      </c>
      <c r="D20" s="12" t="s">
        <v>48</v>
      </c>
      <c r="E20" s="13">
        <v>0</v>
      </c>
      <c r="F20" s="13">
        <v>0.02</v>
      </c>
      <c r="G20" s="13">
        <f>F20</f>
        <v>0.02</v>
      </c>
      <c r="H20" s="13">
        <f t="shared" ref="H20:O20" si="8">G20</f>
        <v>0.02</v>
      </c>
      <c r="I20" s="13">
        <f t="shared" si="8"/>
        <v>0.02</v>
      </c>
      <c r="J20" s="13">
        <f t="shared" si="8"/>
        <v>0.02</v>
      </c>
      <c r="K20" s="13">
        <f t="shared" si="8"/>
        <v>0.02</v>
      </c>
      <c r="L20" s="13">
        <f t="shared" si="8"/>
        <v>0.02</v>
      </c>
      <c r="M20" s="13">
        <f t="shared" si="8"/>
        <v>0.02</v>
      </c>
      <c r="N20" s="13">
        <f t="shared" si="8"/>
        <v>0.02</v>
      </c>
      <c r="O20" s="13">
        <f t="shared" si="8"/>
        <v>0.02</v>
      </c>
    </row>
    <row r="21" spans="2:15" x14ac:dyDescent="0.25">
      <c r="B21" s="11" t="s">
        <v>36</v>
      </c>
      <c r="E21" s="6">
        <v>30000</v>
      </c>
      <c r="F21" s="3">
        <f>E21*(1+F$20)</f>
        <v>30600</v>
      </c>
      <c r="G21" s="3">
        <f t="shared" ref="G21:O21" si="9">F21*(1+G$20)</f>
        <v>31212</v>
      </c>
      <c r="H21" s="3">
        <f t="shared" si="9"/>
        <v>31836.240000000002</v>
      </c>
      <c r="I21" s="3">
        <f t="shared" si="9"/>
        <v>32472.964800000002</v>
      </c>
      <c r="J21" s="3">
        <f t="shared" si="9"/>
        <v>33122.424096000002</v>
      </c>
      <c r="K21" s="3">
        <f t="shared" si="9"/>
        <v>33784.872577920003</v>
      </c>
      <c r="L21" s="3">
        <f t="shared" si="9"/>
        <v>34460.570029478404</v>
      </c>
      <c r="M21" s="3">
        <f t="shared" si="9"/>
        <v>35149.781430067975</v>
      </c>
      <c r="N21" s="3">
        <f t="shared" si="9"/>
        <v>35852.777058669337</v>
      </c>
      <c r="O21" s="3">
        <f t="shared" si="9"/>
        <v>36569.832599842724</v>
      </c>
    </row>
    <row r="22" spans="2:15" x14ac:dyDescent="0.25">
      <c r="B22" s="11" t="s">
        <v>37</v>
      </c>
      <c r="E22" s="6">
        <v>60000</v>
      </c>
      <c r="F22" s="3">
        <f t="shared" ref="F22:O26" si="10">E22*(1+F$20)</f>
        <v>61200</v>
      </c>
      <c r="G22" s="3">
        <f t="shared" si="10"/>
        <v>62424</v>
      </c>
      <c r="H22" s="3">
        <f t="shared" si="10"/>
        <v>63672.480000000003</v>
      </c>
      <c r="I22" s="3">
        <f t="shared" si="10"/>
        <v>64945.929600000003</v>
      </c>
      <c r="J22" s="3">
        <f t="shared" si="10"/>
        <v>66244.848192000005</v>
      </c>
      <c r="K22" s="3">
        <f t="shared" si="10"/>
        <v>67569.745155840006</v>
      </c>
      <c r="L22" s="3">
        <f t="shared" si="10"/>
        <v>68921.140058956807</v>
      </c>
      <c r="M22" s="3">
        <f t="shared" si="10"/>
        <v>70299.562860135949</v>
      </c>
      <c r="N22" s="3">
        <f t="shared" si="10"/>
        <v>71705.554117338674</v>
      </c>
      <c r="O22" s="3">
        <f t="shared" si="10"/>
        <v>73139.665199685449</v>
      </c>
    </row>
    <row r="23" spans="2:15" x14ac:dyDescent="0.25">
      <c r="B23" s="11" t="s">
        <v>38</v>
      </c>
      <c r="E23" s="6">
        <v>80000</v>
      </c>
      <c r="F23" s="3">
        <f t="shared" si="10"/>
        <v>81600</v>
      </c>
      <c r="G23" s="3">
        <f t="shared" si="10"/>
        <v>83232</v>
      </c>
      <c r="H23" s="3">
        <f t="shared" si="10"/>
        <v>84896.639999999999</v>
      </c>
      <c r="I23" s="3">
        <f t="shared" si="10"/>
        <v>86594.572799999994</v>
      </c>
      <c r="J23" s="3">
        <f t="shared" si="10"/>
        <v>88326.464255999992</v>
      </c>
      <c r="K23" s="3">
        <f t="shared" si="10"/>
        <v>90092.993541119999</v>
      </c>
      <c r="L23" s="3">
        <f t="shared" si="10"/>
        <v>91894.8534119424</v>
      </c>
      <c r="M23" s="3">
        <f t="shared" si="10"/>
        <v>93732.750480181247</v>
      </c>
      <c r="N23" s="3">
        <f t="shared" si="10"/>
        <v>95607.405489784869</v>
      </c>
      <c r="O23" s="3">
        <f t="shared" si="10"/>
        <v>97519.553599580569</v>
      </c>
    </row>
    <row r="24" spans="2:15" x14ac:dyDescent="0.25">
      <c r="B24" s="11" t="s">
        <v>39</v>
      </c>
      <c r="E24" s="6">
        <f>E18*0.03</f>
        <v>25156.295999999998</v>
      </c>
      <c r="F24" s="3">
        <f t="shared" si="10"/>
        <v>25659.421920000001</v>
      </c>
      <c r="G24" s="3">
        <f t="shared" si="10"/>
        <v>26172.610358400001</v>
      </c>
      <c r="H24" s="3">
        <f t="shared" si="10"/>
        <v>26696.062565568001</v>
      </c>
      <c r="I24" s="3">
        <f t="shared" si="10"/>
        <v>27229.983816879361</v>
      </c>
      <c r="J24" s="3">
        <f t="shared" si="10"/>
        <v>27774.583493216949</v>
      </c>
      <c r="K24" s="3">
        <f t="shared" si="10"/>
        <v>28330.075163081288</v>
      </c>
      <c r="L24" s="3">
        <f t="shared" si="10"/>
        <v>28896.676666342915</v>
      </c>
      <c r="M24" s="3">
        <f t="shared" si="10"/>
        <v>29474.610199669773</v>
      </c>
      <c r="N24" s="3">
        <f t="shared" si="10"/>
        <v>30064.102403663168</v>
      </c>
      <c r="O24" s="3">
        <f t="shared" si="10"/>
        <v>30665.38445173643</v>
      </c>
    </row>
    <row r="25" spans="2:15" x14ac:dyDescent="0.25">
      <c r="B25" s="11" t="s">
        <v>40</v>
      </c>
      <c r="E25" s="6">
        <v>15000</v>
      </c>
      <c r="F25" s="3">
        <f t="shared" si="10"/>
        <v>15300</v>
      </c>
      <c r="G25" s="3">
        <f t="shared" si="10"/>
        <v>15606</v>
      </c>
      <c r="H25" s="3">
        <f t="shared" si="10"/>
        <v>15918.12</v>
      </c>
      <c r="I25" s="3">
        <f t="shared" si="10"/>
        <v>16236.482400000001</v>
      </c>
      <c r="J25" s="3">
        <f t="shared" si="10"/>
        <v>16561.212048000001</v>
      </c>
      <c r="K25" s="3">
        <f t="shared" si="10"/>
        <v>16892.436288960002</v>
      </c>
      <c r="L25" s="3">
        <f t="shared" si="10"/>
        <v>17230.285014739202</v>
      </c>
      <c r="M25" s="3">
        <f t="shared" si="10"/>
        <v>17574.890715033987</v>
      </c>
      <c r="N25" s="3">
        <f t="shared" si="10"/>
        <v>17926.388529334668</v>
      </c>
      <c r="O25" s="3">
        <f t="shared" si="10"/>
        <v>18284.916299921362</v>
      </c>
    </row>
    <row r="26" spans="2:15" x14ac:dyDescent="0.25">
      <c r="B26" s="11" t="s">
        <v>41</v>
      </c>
      <c r="E26" s="9">
        <v>115000</v>
      </c>
      <c r="F26" s="15">
        <f t="shared" si="10"/>
        <v>117300</v>
      </c>
      <c r="G26" s="15">
        <f t="shared" si="10"/>
        <v>119646</v>
      </c>
      <c r="H26" s="15">
        <f t="shared" si="10"/>
        <v>122038.92</v>
      </c>
      <c r="I26" s="15">
        <f t="shared" si="10"/>
        <v>124479.69839999999</v>
      </c>
      <c r="J26" s="15">
        <f t="shared" si="10"/>
        <v>126969.29236799999</v>
      </c>
      <c r="K26" s="15">
        <f t="shared" si="10"/>
        <v>129508.67821535999</v>
      </c>
      <c r="L26" s="15">
        <f t="shared" si="10"/>
        <v>132098.85177966719</v>
      </c>
      <c r="M26" s="15">
        <f t="shared" si="10"/>
        <v>134740.82881526055</v>
      </c>
      <c r="N26" s="15">
        <f t="shared" si="10"/>
        <v>137435.64539156578</v>
      </c>
      <c r="O26" s="15">
        <f t="shared" si="10"/>
        <v>140184.35829939711</v>
      </c>
    </row>
    <row r="27" spans="2:15" s="4" customFormat="1" x14ac:dyDescent="0.25">
      <c r="B27" s="4" t="s">
        <v>42</v>
      </c>
      <c r="E27" s="14">
        <f>SUM(E21:E26)</f>
        <v>325156.29599999997</v>
      </c>
      <c r="F27" s="14">
        <f>SUM(F21:F26)</f>
        <v>331659.42191999999</v>
      </c>
      <c r="G27" s="14">
        <f t="shared" ref="G27:O27" si="11">SUM(G21:G26)</f>
        <v>338292.61035840004</v>
      </c>
      <c r="H27" s="14">
        <f t="shared" si="11"/>
        <v>345058.46256556798</v>
      </c>
      <c r="I27" s="14">
        <f t="shared" si="11"/>
        <v>351959.63181687938</v>
      </c>
      <c r="J27" s="14">
        <f t="shared" si="11"/>
        <v>358998.82445321698</v>
      </c>
      <c r="K27" s="14">
        <f t="shared" si="11"/>
        <v>366178.80094228126</v>
      </c>
      <c r="L27" s="14">
        <f t="shared" si="11"/>
        <v>373502.37696112692</v>
      </c>
      <c r="M27" s="14">
        <f t="shared" si="11"/>
        <v>380972.4245003495</v>
      </c>
      <c r="N27" s="14">
        <f t="shared" si="11"/>
        <v>388591.87299035653</v>
      </c>
      <c r="O27" s="14">
        <f t="shared" si="11"/>
        <v>396363.71045016369</v>
      </c>
    </row>
    <row r="29" spans="2:15" s="4" customFormat="1" x14ac:dyDescent="0.25">
      <c r="B29" s="4" t="s">
        <v>43</v>
      </c>
      <c r="E29" s="14">
        <f>E18-E27</f>
        <v>513386.90399999998</v>
      </c>
      <c r="F29" s="14">
        <f t="shared" ref="F29:O29" si="12">F18-F27</f>
        <v>540425.50608000008</v>
      </c>
      <c r="G29" s="14">
        <f t="shared" si="12"/>
        <v>569718.42500160006</v>
      </c>
      <c r="H29" s="14">
        <f t="shared" si="12"/>
        <v>581112.79350163206</v>
      </c>
      <c r="I29" s="14">
        <f t="shared" si="12"/>
        <v>602893.05669627269</v>
      </c>
      <c r="J29" s="14">
        <f t="shared" si="12"/>
        <v>614950.91783019807</v>
      </c>
      <c r="K29" s="14">
        <f t="shared" si="12"/>
        <v>627249.93618680199</v>
      </c>
      <c r="L29" s="14">
        <f t="shared" si="12"/>
        <v>639794.93491053802</v>
      </c>
      <c r="M29" s="14">
        <f t="shared" si="12"/>
        <v>652590.83360874886</v>
      </c>
      <c r="N29" s="14">
        <f t="shared" si="12"/>
        <v>665642.65028092382</v>
      </c>
      <c r="O29" s="14">
        <f t="shared" si="12"/>
        <v>678955.50328654225</v>
      </c>
    </row>
    <row r="30" spans="2:15" x14ac:dyDescent="0.25">
      <c r="B30" s="11" t="s">
        <v>44</v>
      </c>
      <c r="E30" s="9">
        <f>K7*250</f>
        <v>12500</v>
      </c>
      <c r="F30" s="15">
        <f>E30*(1+F$20)</f>
        <v>12750</v>
      </c>
      <c r="G30" s="15">
        <f t="shared" ref="G30:O30" si="13">F30*(1+G$20)</f>
        <v>13005</v>
      </c>
      <c r="H30" s="15">
        <f t="shared" si="13"/>
        <v>13265.1</v>
      </c>
      <c r="I30" s="15">
        <f t="shared" si="13"/>
        <v>13530.402</v>
      </c>
      <c r="J30" s="15">
        <f t="shared" si="13"/>
        <v>13801.010040000001</v>
      </c>
      <c r="K30" s="15">
        <f t="shared" si="13"/>
        <v>14077.030240800001</v>
      </c>
      <c r="L30" s="15">
        <f t="shared" si="13"/>
        <v>14358.570845616001</v>
      </c>
      <c r="M30" s="15">
        <f t="shared" si="13"/>
        <v>14645.742262528322</v>
      </c>
      <c r="N30" s="15">
        <f t="shared" si="13"/>
        <v>14938.657107778889</v>
      </c>
      <c r="O30" s="15"/>
    </row>
    <row r="31" spans="2:15" s="4" customFormat="1" x14ac:dyDescent="0.25">
      <c r="B31" s="4" t="s">
        <v>45</v>
      </c>
      <c r="E31" s="14">
        <f>E29-E30</f>
        <v>500886.90399999998</v>
      </c>
      <c r="F31" s="14">
        <f>F29-F30</f>
        <v>527675.50608000008</v>
      </c>
      <c r="G31" s="14">
        <f t="shared" ref="G31:O31" si="14">G29-G30</f>
        <v>556713.42500160006</v>
      </c>
      <c r="H31" s="14">
        <f t="shared" si="14"/>
        <v>567847.69350163208</v>
      </c>
      <c r="I31" s="14">
        <f t="shared" si="14"/>
        <v>589362.65469627269</v>
      </c>
      <c r="J31" s="14">
        <f t="shared" si="14"/>
        <v>601149.90779019811</v>
      </c>
      <c r="K31" s="14">
        <f t="shared" si="14"/>
        <v>613172.90594600199</v>
      </c>
      <c r="L31" s="14">
        <f t="shared" si="14"/>
        <v>625436.36406492197</v>
      </c>
      <c r="M31" s="14">
        <f t="shared" si="14"/>
        <v>637945.09134622058</v>
      </c>
      <c r="N31" s="14">
        <f t="shared" si="14"/>
        <v>650703.99317314487</v>
      </c>
      <c r="O31" s="14"/>
    </row>
    <row r="33" spans="2:16" x14ac:dyDescent="0.25">
      <c r="B33" s="11" t="s">
        <v>46</v>
      </c>
      <c r="E33" s="3">
        <f>$H$6*12</f>
        <v>397448.23347499501</v>
      </c>
      <c r="F33" s="3">
        <f t="shared" ref="F33:N33" si="15">$H$6*12</f>
        <v>397448.23347499501</v>
      </c>
      <c r="G33" s="3">
        <f t="shared" si="15"/>
        <v>397448.23347499501</v>
      </c>
      <c r="H33" s="3">
        <f t="shared" si="15"/>
        <v>397448.23347499501</v>
      </c>
      <c r="I33" s="3">
        <f t="shared" si="15"/>
        <v>397448.23347499501</v>
      </c>
      <c r="J33" s="3">
        <f t="shared" si="15"/>
        <v>397448.23347499501</v>
      </c>
      <c r="K33" s="3">
        <f t="shared" si="15"/>
        <v>397448.23347499501</v>
      </c>
      <c r="L33" s="3">
        <f t="shared" si="15"/>
        <v>397448.23347499501</v>
      </c>
      <c r="M33" s="3">
        <f t="shared" si="15"/>
        <v>397448.23347499501</v>
      </c>
      <c r="N33" s="3">
        <f t="shared" si="15"/>
        <v>397448.23347499501</v>
      </c>
    </row>
    <row r="34" spans="2:16" s="4" customFormat="1" x14ac:dyDescent="0.25">
      <c r="B34" s="4" t="s">
        <v>47</v>
      </c>
      <c r="E34" s="14">
        <f>E31-E33</f>
        <v>103438.67052500497</v>
      </c>
      <c r="F34" s="14">
        <f t="shared" ref="F34:N34" si="16">F31-F33</f>
        <v>130227.27260500507</v>
      </c>
      <c r="G34" s="14">
        <f t="shared" si="16"/>
        <v>159265.19152660505</v>
      </c>
      <c r="H34" s="14">
        <f t="shared" si="16"/>
        <v>170399.46002663707</v>
      </c>
      <c r="I34" s="14">
        <f t="shared" si="16"/>
        <v>191914.42122127768</v>
      </c>
      <c r="J34" s="14">
        <f t="shared" si="16"/>
        <v>203701.6743152031</v>
      </c>
      <c r="K34" s="14">
        <f t="shared" si="16"/>
        <v>215724.67247100698</v>
      </c>
      <c r="L34" s="14">
        <f t="shared" si="16"/>
        <v>227988.13058992696</v>
      </c>
      <c r="M34" s="14">
        <f t="shared" si="16"/>
        <v>240496.85787122557</v>
      </c>
      <c r="N34" s="14">
        <f t="shared" si="16"/>
        <v>253255.75969814986</v>
      </c>
    </row>
    <row r="36" spans="2:16" x14ac:dyDescent="0.25">
      <c r="B36" s="42" t="s">
        <v>52</v>
      </c>
      <c r="C36" s="42"/>
      <c r="D36" s="44" t="s">
        <v>53</v>
      </c>
      <c r="E36" s="45">
        <v>1</v>
      </c>
      <c r="F36" s="45">
        <f>E36+1</f>
        <v>2</v>
      </c>
      <c r="G36" s="45">
        <f t="shared" ref="G36:O36" si="17">F36+1</f>
        <v>3</v>
      </c>
      <c r="H36" s="45">
        <f t="shared" si="17"/>
        <v>4</v>
      </c>
      <c r="I36" s="45">
        <f t="shared" si="17"/>
        <v>5</v>
      </c>
      <c r="J36" s="45">
        <f t="shared" si="17"/>
        <v>6</v>
      </c>
      <c r="K36" s="45">
        <f t="shared" si="17"/>
        <v>7</v>
      </c>
      <c r="L36" s="45">
        <f t="shared" si="17"/>
        <v>8</v>
      </c>
      <c r="M36" s="45">
        <f t="shared" si="17"/>
        <v>9</v>
      </c>
      <c r="N36" s="45">
        <f t="shared" si="17"/>
        <v>10</v>
      </c>
      <c r="O36" s="45"/>
      <c r="P36" s="42"/>
    </row>
    <row r="37" spans="2:16" x14ac:dyDescent="0.25">
      <c r="B37" s="2" t="s">
        <v>54</v>
      </c>
      <c r="E37" s="16">
        <f>PV($H$4/12,$H$5-(E36*12),$H$6)</f>
        <v>-6815328.097443236</v>
      </c>
      <c r="F37" s="16">
        <f t="shared" ref="F37:N37" si="18">PV($H$4/12,$H$5-(F36*12),$H$6)</f>
        <v>-6688178.7230747622</v>
      </c>
      <c r="G37" s="16">
        <f t="shared" si="18"/>
        <v>-6555849.0870132307</v>
      </c>
      <c r="H37" s="16">
        <f t="shared" si="18"/>
        <v>-6418128.1374045387</v>
      </c>
      <c r="I37" s="16">
        <f t="shared" si="18"/>
        <v>-6274796.2238164088</v>
      </c>
      <c r="J37" s="16">
        <f t="shared" si="18"/>
        <v>-6125624.7469190527</v>
      </c>
      <c r="K37" s="16">
        <f t="shared" si="18"/>
        <v>-5970375.7938932749</v>
      </c>
      <c r="L37" s="16">
        <f t="shared" si="18"/>
        <v>-5808801.7589845434</v>
      </c>
      <c r="M37" s="16">
        <f t="shared" si="18"/>
        <v>-5640644.9485978559</v>
      </c>
      <c r="N37" s="16">
        <f t="shared" si="18"/>
        <v>-5465637.1703035422</v>
      </c>
    </row>
    <row r="38" spans="2:16" x14ac:dyDescent="0.25">
      <c r="B38" s="2" t="s">
        <v>55</v>
      </c>
      <c r="E38" s="17">
        <f>E29/E33</f>
        <v>1.2917076005378676</v>
      </c>
      <c r="F38" s="17">
        <f t="shared" ref="F38:N38" si="19">F29/F33</f>
        <v>1.3597381006198392</v>
      </c>
      <c r="G38" s="17">
        <f t="shared" si="19"/>
        <v>1.4334405767020304</v>
      </c>
      <c r="H38" s="17">
        <f t="shared" si="19"/>
        <v>1.462109388236071</v>
      </c>
      <c r="I38" s="17">
        <f t="shared" si="19"/>
        <v>1.5169096398416952</v>
      </c>
      <c r="J38" s="17">
        <f t="shared" si="19"/>
        <v>1.5472478326385291</v>
      </c>
      <c r="K38" s="17">
        <f t="shared" si="19"/>
        <v>1.5781927892912995</v>
      </c>
      <c r="L38" s="17">
        <f t="shared" si="19"/>
        <v>1.6097566450771255</v>
      </c>
      <c r="M38" s="17">
        <f t="shared" si="19"/>
        <v>1.6419517779786681</v>
      </c>
      <c r="N38" s="17">
        <f t="shared" si="19"/>
        <v>1.6747908135382414</v>
      </c>
    </row>
    <row r="39" spans="2:16" x14ac:dyDescent="0.25">
      <c r="B39" s="2" t="s">
        <v>56</v>
      </c>
      <c r="E39" s="18">
        <f>E29/-E37</f>
        <v>7.5328274245901175E-2</v>
      </c>
      <c r="F39" s="18">
        <f t="shared" ref="F39:N39" si="20">F29/-F37</f>
        <v>8.0803089818082763E-2</v>
      </c>
      <c r="G39" s="18">
        <f t="shared" si="20"/>
        <v>8.6902309287469767E-2</v>
      </c>
      <c r="H39" s="18">
        <f t="shared" si="20"/>
        <v>9.0542410662531797E-2</v>
      </c>
      <c r="I39" s="18">
        <f t="shared" si="20"/>
        <v>9.608169495735204E-2</v>
      </c>
      <c r="J39" s="18">
        <f t="shared" si="20"/>
        <v>0.10038991012949236</v>
      </c>
      <c r="K39" s="18">
        <f t="shared" si="20"/>
        <v>0.10506037774512901</v>
      </c>
      <c r="L39" s="18">
        <f t="shared" si="20"/>
        <v>0.11014232563901144</v>
      </c>
      <c r="M39" s="18">
        <f t="shared" si="20"/>
        <v>0.11569436466143274</v>
      </c>
      <c r="N39" s="18">
        <f t="shared" si="20"/>
        <v>0.12178683464346324</v>
      </c>
    </row>
    <row r="41" spans="2:16" x14ac:dyDescent="0.25">
      <c r="B41" s="42" t="s">
        <v>57</v>
      </c>
      <c r="C41" s="42"/>
      <c r="D41" s="44" t="s">
        <v>53</v>
      </c>
      <c r="E41" s="45">
        <v>1</v>
      </c>
      <c r="F41" s="45">
        <f>E41+1</f>
        <v>2</v>
      </c>
      <c r="G41" s="45">
        <f t="shared" ref="G41:N41" si="21">F41+1</f>
        <v>3</v>
      </c>
      <c r="H41" s="45">
        <f t="shared" si="21"/>
        <v>4</v>
      </c>
      <c r="I41" s="45">
        <f t="shared" si="21"/>
        <v>5</v>
      </c>
      <c r="J41" s="45">
        <f t="shared" si="21"/>
        <v>6</v>
      </c>
      <c r="K41" s="45">
        <f t="shared" si="21"/>
        <v>7</v>
      </c>
      <c r="L41" s="45">
        <f t="shared" si="21"/>
        <v>8</v>
      </c>
      <c r="M41" s="45">
        <f t="shared" si="21"/>
        <v>9</v>
      </c>
      <c r="N41" s="45">
        <f t="shared" si="21"/>
        <v>10</v>
      </c>
      <c r="O41" s="42"/>
      <c r="P41" s="42"/>
    </row>
    <row r="42" spans="2:16" x14ac:dyDescent="0.25">
      <c r="B42" s="19" t="s">
        <v>58</v>
      </c>
      <c r="C42"/>
      <c r="D42" s="16">
        <f>-D5</f>
        <v>-9250000</v>
      </c>
    </row>
    <row r="43" spans="2:16" x14ac:dyDescent="0.25">
      <c r="B43" s="20" t="s">
        <v>45</v>
      </c>
      <c r="C43"/>
      <c r="E43" s="3">
        <f>E31</f>
        <v>500886.90399999998</v>
      </c>
      <c r="F43" s="3">
        <f t="shared" ref="F43:N43" si="22">F31</f>
        <v>527675.50608000008</v>
      </c>
      <c r="G43" s="3">
        <f t="shared" si="22"/>
        <v>556713.42500160006</v>
      </c>
      <c r="H43" s="3">
        <f t="shared" si="22"/>
        <v>567847.69350163208</v>
      </c>
      <c r="I43" s="3">
        <f t="shared" si="22"/>
        <v>589362.65469627269</v>
      </c>
      <c r="J43" s="3">
        <f t="shared" si="22"/>
        <v>601149.90779019811</v>
      </c>
      <c r="K43" s="3">
        <f t="shared" si="22"/>
        <v>613172.90594600199</v>
      </c>
      <c r="L43" s="3">
        <f t="shared" si="22"/>
        <v>625436.36406492197</v>
      </c>
      <c r="M43" s="3">
        <f t="shared" si="22"/>
        <v>637945.09134622058</v>
      </c>
      <c r="N43" s="3">
        <f t="shared" si="22"/>
        <v>650703.99317314487</v>
      </c>
    </row>
    <row r="44" spans="2:16" x14ac:dyDescent="0.25">
      <c r="B44" s="20" t="s">
        <v>59</v>
      </c>
      <c r="C44"/>
      <c r="N44" s="3">
        <f>O29/Terminal_Cap_Rate</f>
        <v>12344645.514300767</v>
      </c>
    </row>
    <row r="45" spans="2:16" x14ac:dyDescent="0.25">
      <c r="B45" s="20" t="s">
        <v>15</v>
      </c>
      <c r="C45"/>
      <c r="N45" s="16">
        <f>-N44*P4</f>
        <v>-185169.68271451149</v>
      </c>
    </row>
    <row r="46" spans="2:16" s="4" customFormat="1" x14ac:dyDescent="0.25">
      <c r="B46" s="21" t="s">
        <v>60</v>
      </c>
      <c r="C46" s="22"/>
      <c r="D46" s="26">
        <f>SUM(D42:D45)</f>
        <v>-9250000</v>
      </c>
      <c r="E46" s="26">
        <f t="shared" ref="E46:N46" si="23">SUM(E42:E45)</f>
        <v>500886.90399999998</v>
      </c>
      <c r="F46" s="26">
        <f t="shared" si="23"/>
        <v>527675.50608000008</v>
      </c>
      <c r="G46" s="26">
        <f t="shared" si="23"/>
        <v>556713.42500160006</v>
      </c>
      <c r="H46" s="26">
        <f t="shared" si="23"/>
        <v>567847.69350163208</v>
      </c>
      <c r="I46" s="26">
        <f t="shared" si="23"/>
        <v>589362.65469627269</v>
      </c>
      <c r="J46" s="26">
        <f t="shared" si="23"/>
        <v>601149.90779019811</v>
      </c>
      <c r="K46" s="26">
        <f t="shared" si="23"/>
        <v>613172.90594600199</v>
      </c>
      <c r="L46" s="26">
        <f t="shared" si="23"/>
        <v>625436.36406492197</v>
      </c>
      <c r="M46" s="26">
        <f t="shared" si="23"/>
        <v>637945.09134622058</v>
      </c>
      <c r="N46" s="26">
        <f t="shared" si="23"/>
        <v>12810179.824759401</v>
      </c>
    </row>
    <row r="47" spans="2:16" s="4" customFormat="1" x14ac:dyDescent="0.25">
      <c r="B47" s="21"/>
      <c r="C47" s="23" t="s">
        <v>61</v>
      </c>
      <c r="D47" s="27">
        <f>AVERAGE(E47:N47)</f>
        <v>6.3469129141621533E-2</v>
      </c>
      <c r="E47" s="27">
        <f>E43/-$D$42</f>
        <v>5.4149935567567566E-2</v>
      </c>
      <c r="F47" s="27">
        <f t="shared" ref="F47:N47" si="24">F43/-$D$42</f>
        <v>5.7046000657297306E-2</v>
      </c>
      <c r="G47" s="27">
        <f t="shared" si="24"/>
        <v>6.0185235135308116E-2</v>
      </c>
      <c r="H47" s="27">
        <f t="shared" si="24"/>
        <v>6.138893983801428E-2</v>
      </c>
      <c r="I47" s="27">
        <f t="shared" si="24"/>
        <v>6.3714881588786243E-2</v>
      </c>
      <c r="J47" s="27">
        <f t="shared" si="24"/>
        <v>6.4989179220561952E-2</v>
      </c>
      <c r="K47" s="27">
        <f t="shared" si="24"/>
        <v>6.6288962804973192E-2</v>
      </c>
      <c r="L47" s="27">
        <f t="shared" si="24"/>
        <v>6.7614742061072652E-2</v>
      </c>
      <c r="M47" s="27">
        <f t="shared" si="24"/>
        <v>6.896703690229411E-2</v>
      </c>
      <c r="N47" s="27">
        <f t="shared" si="24"/>
        <v>7.0346377640339991E-2</v>
      </c>
    </row>
    <row r="48" spans="2:16" x14ac:dyDescent="0.25">
      <c r="B48" s="25"/>
      <c r="C48" s="24" t="s">
        <v>17</v>
      </c>
      <c r="D48" s="27">
        <f>IRR(D46:N46)</f>
        <v>8.3666830116978508E-2</v>
      </c>
    </row>
    <row r="49" spans="2:14" x14ac:dyDescent="0.25">
      <c r="B49" s="25"/>
      <c r="C49" s="24" t="s">
        <v>62</v>
      </c>
      <c r="D49" s="28">
        <f>SUMIF(D46:N46,"&gt;0")/-SUMIF(D46:N46,"&lt;0")</f>
        <v>1.94922921915527</v>
      </c>
    </row>
    <row r="50" spans="2:14" x14ac:dyDescent="0.25">
      <c r="B50" s="25"/>
      <c r="C50"/>
    </row>
    <row r="51" spans="2:14" x14ac:dyDescent="0.25">
      <c r="B51" s="20" t="s">
        <v>58</v>
      </c>
      <c r="C51"/>
      <c r="D51" s="16">
        <f>D42</f>
        <v>-9250000</v>
      </c>
      <c r="E51" s="3"/>
    </row>
    <row r="52" spans="2:14" x14ac:dyDescent="0.25">
      <c r="B52" s="20" t="s">
        <v>63</v>
      </c>
      <c r="C52"/>
      <c r="D52" s="3">
        <f>H3</f>
        <v>6937500</v>
      </c>
    </row>
    <row r="53" spans="2:14" x14ac:dyDescent="0.25">
      <c r="B53" s="20" t="s">
        <v>47</v>
      </c>
      <c r="C53"/>
      <c r="E53" s="3">
        <f>E34</f>
        <v>103438.67052500497</v>
      </c>
      <c r="F53" s="3">
        <f t="shared" ref="F53:N53" si="25">F34</f>
        <v>130227.27260500507</v>
      </c>
      <c r="G53" s="3">
        <f t="shared" si="25"/>
        <v>159265.19152660505</v>
      </c>
      <c r="H53" s="3">
        <f t="shared" si="25"/>
        <v>170399.46002663707</v>
      </c>
      <c r="I53" s="3">
        <f t="shared" si="25"/>
        <v>191914.42122127768</v>
      </c>
      <c r="J53" s="3">
        <f t="shared" si="25"/>
        <v>203701.6743152031</v>
      </c>
      <c r="K53" s="3">
        <f t="shared" si="25"/>
        <v>215724.67247100698</v>
      </c>
      <c r="L53" s="3">
        <f t="shared" si="25"/>
        <v>227988.13058992696</v>
      </c>
      <c r="M53" s="3">
        <f t="shared" si="25"/>
        <v>240496.85787122557</v>
      </c>
      <c r="N53" s="3">
        <f t="shared" si="25"/>
        <v>253255.75969814986</v>
      </c>
    </row>
    <row r="54" spans="2:14" x14ac:dyDescent="0.25">
      <c r="B54" s="20" t="s">
        <v>59</v>
      </c>
      <c r="C54"/>
      <c r="N54" s="3">
        <f>N44</f>
        <v>12344645.514300767</v>
      </c>
    </row>
    <row r="55" spans="2:14" x14ac:dyDescent="0.25">
      <c r="B55" s="20" t="s">
        <v>64</v>
      </c>
      <c r="C55"/>
      <c r="N55" s="16">
        <f>N37</f>
        <v>-5465637.1703035422</v>
      </c>
    </row>
    <row r="56" spans="2:14" x14ac:dyDescent="0.25">
      <c r="B56" s="20" t="s">
        <v>15</v>
      </c>
      <c r="C56"/>
      <c r="N56" s="16">
        <f>N45</f>
        <v>-185169.68271451149</v>
      </c>
    </row>
    <row r="57" spans="2:14" x14ac:dyDescent="0.25">
      <c r="B57" s="21" t="s">
        <v>65</v>
      </c>
      <c r="C57"/>
      <c r="D57" s="26">
        <f>SUM(D51:D56)</f>
        <v>-2312500</v>
      </c>
      <c r="E57" s="26">
        <f t="shared" ref="E57:N57" si="26">SUM(E51:E56)</f>
        <v>103438.67052500497</v>
      </c>
      <c r="F57" s="26">
        <f t="shared" si="26"/>
        <v>130227.27260500507</v>
      </c>
      <c r="G57" s="26">
        <f t="shared" si="26"/>
        <v>159265.19152660505</v>
      </c>
      <c r="H57" s="26">
        <f t="shared" si="26"/>
        <v>170399.46002663707</v>
      </c>
      <c r="I57" s="26">
        <f t="shared" si="26"/>
        <v>191914.42122127768</v>
      </c>
      <c r="J57" s="26">
        <f t="shared" si="26"/>
        <v>203701.6743152031</v>
      </c>
      <c r="K57" s="26">
        <f t="shared" si="26"/>
        <v>215724.67247100698</v>
      </c>
      <c r="L57" s="26">
        <f t="shared" si="26"/>
        <v>227988.13058992696</v>
      </c>
      <c r="M57" s="26">
        <f t="shared" si="26"/>
        <v>240496.85787122557</v>
      </c>
      <c r="N57" s="26">
        <f t="shared" si="26"/>
        <v>6947094.4209808642</v>
      </c>
    </row>
    <row r="58" spans="2:14" x14ac:dyDescent="0.25">
      <c r="B58" s="21"/>
      <c r="C58" s="23" t="s">
        <v>66</v>
      </c>
      <c r="D58" s="27">
        <f>AVERAGE(E58:N58)</f>
        <v>8.2007010198920732E-2</v>
      </c>
      <c r="E58" s="27">
        <f>E53/-$D$57</f>
        <v>4.4730235902704855E-2</v>
      </c>
      <c r="F58" s="27">
        <f t="shared" ref="F58:N58" si="27">F53/-$D$57</f>
        <v>5.6314496261623812E-2</v>
      </c>
      <c r="G58" s="27">
        <f t="shared" si="27"/>
        <v>6.8871434173667048E-2</v>
      </c>
      <c r="H58" s="27">
        <f t="shared" si="27"/>
        <v>7.3686252984491704E-2</v>
      </c>
      <c r="I58" s="27">
        <f t="shared" si="27"/>
        <v>8.299001998757953E-2</v>
      </c>
      <c r="J58" s="27">
        <f t="shared" si="27"/>
        <v>8.8087210514682421E-2</v>
      </c>
      <c r="K58" s="27">
        <f t="shared" si="27"/>
        <v>9.3286344852327341E-2</v>
      </c>
      <c r="L58" s="27">
        <f t="shared" si="27"/>
        <v>9.8589461876725168E-2</v>
      </c>
      <c r="M58" s="27">
        <f t="shared" si="27"/>
        <v>0.10399864124161105</v>
      </c>
      <c r="N58" s="27">
        <f t="shared" si="27"/>
        <v>0.10951600419379454</v>
      </c>
    </row>
    <row r="59" spans="2:14" x14ac:dyDescent="0.25">
      <c r="B59" s="25"/>
      <c r="C59" s="24" t="s">
        <v>19</v>
      </c>
      <c r="D59" s="27">
        <f>IRR(D57:N57)</f>
        <v>0.16172201987567369</v>
      </c>
    </row>
    <row r="60" spans="2:14" x14ac:dyDescent="0.25">
      <c r="B60" s="25"/>
      <c r="C60" s="24" t="s">
        <v>67</v>
      </c>
      <c r="D60" s="28">
        <f>SUMIF(D57:N57,"&gt;0")/-SUMIF(D57:N57,"&lt;0")</f>
        <v>3.7147030365979488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Terminal_Cap_Rate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burton</cp:lastModifiedBy>
  <dcterms:created xsi:type="dcterms:W3CDTF">2016-04-09T17:52:26Z</dcterms:created>
  <dcterms:modified xsi:type="dcterms:W3CDTF">2016-04-09T18:55:58Z</dcterms:modified>
</cp:coreProperties>
</file>