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3275" activeTab="2"/>
  </bookViews>
  <sheets>
    <sheet name="Version" sheetId="4" r:id="rId1"/>
    <sheet name="After Tax Analysis Unlevered" sheetId="1" r:id="rId2"/>
    <sheet name="After Tax Analysis Levered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2" l="1"/>
  <c r="R23" i="2"/>
  <c r="Q23" i="2"/>
  <c r="P23" i="2"/>
  <c r="O23" i="2"/>
  <c r="N23" i="2"/>
  <c r="M23" i="2"/>
  <c r="L23" i="2"/>
  <c r="K23" i="2"/>
  <c r="J23" i="2"/>
  <c r="I5" i="2" l="1"/>
  <c r="J6" i="1"/>
  <c r="K6" i="1" s="1"/>
  <c r="L6" i="1" s="1"/>
  <c r="M6" i="1" s="1"/>
  <c r="N6" i="1" s="1"/>
  <c r="O6" i="1" s="1"/>
  <c r="P6" i="1" s="1"/>
  <c r="Q6" i="1" s="1"/>
  <c r="R6" i="1" s="1"/>
  <c r="S6" i="1" s="1"/>
  <c r="I5" i="1"/>
  <c r="L6" i="2" l="1"/>
  <c r="M6" i="2" s="1"/>
  <c r="N6" i="2" s="1"/>
  <c r="O6" i="2" s="1"/>
  <c r="P6" i="2" s="1"/>
  <c r="Q6" i="2" s="1"/>
  <c r="R6" i="2" s="1"/>
  <c r="S6" i="2" s="1"/>
  <c r="K6" i="2"/>
  <c r="J6" i="2"/>
  <c r="K18" i="1" l="1"/>
  <c r="L18" i="1" s="1"/>
  <c r="M18" i="1" s="1"/>
  <c r="N18" i="1" s="1"/>
  <c r="O18" i="1" s="1"/>
  <c r="P18" i="1" s="1"/>
  <c r="Q18" i="1" s="1"/>
  <c r="R18" i="1" s="1"/>
  <c r="S18" i="1" s="1"/>
  <c r="K19" i="1"/>
  <c r="L19" i="1" s="1"/>
  <c r="M19" i="1" s="1"/>
  <c r="N19" i="1" s="1"/>
  <c r="O19" i="1" s="1"/>
  <c r="P19" i="1" s="1"/>
  <c r="Q19" i="1" s="1"/>
  <c r="R19" i="1" s="1"/>
  <c r="S19" i="1" s="1"/>
  <c r="S19" i="2" l="1"/>
  <c r="S24" i="2" s="1"/>
  <c r="R19" i="2"/>
  <c r="R24" i="2" s="1"/>
  <c r="Q19" i="2"/>
  <c r="P19" i="2"/>
  <c r="P24" i="2" s="1"/>
  <c r="O19" i="2"/>
  <c r="N19" i="2"/>
  <c r="N24" i="2" s="1"/>
  <c r="M19" i="2"/>
  <c r="L19" i="2"/>
  <c r="L24" i="2" s="1"/>
  <c r="K19" i="2"/>
  <c r="K24" i="2" s="1"/>
  <c r="J19" i="2"/>
  <c r="J24" i="2" s="1"/>
  <c r="S18" i="2"/>
  <c r="R18" i="2"/>
  <c r="Q18" i="2"/>
  <c r="P18" i="2"/>
  <c r="P20" i="2" s="1"/>
  <c r="O18" i="2"/>
  <c r="N18" i="2"/>
  <c r="M18" i="2"/>
  <c r="L18" i="2"/>
  <c r="L20" i="2" s="1"/>
  <c r="K18" i="2"/>
  <c r="J18" i="2"/>
  <c r="D25" i="2"/>
  <c r="D24" i="2"/>
  <c r="B33" i="2" s="1"/>
  <c r="D22" i="2"/>
  <c r="D20" i="2"/>
  <c r="D18" i="2"/>
  <c r="D17" i="2"/>
  <c r="D16" i="2"/>
  <c r="D15" i="2"/>
  <c r="F28" i="2" s="1"/>
  <c r="D11" i="2"/>
  <c r="M24" i="2"/>
  <c r="J4" i="2"/>
  <c r="I27" i="1"/>
  <c r="F16" i="1"/>
  <c r="F13" i="1"/>
  <c r="F25" i="1"/>
  <c r="S21" i="1"/>
  <c r="R21" i="1"/>
  <c r="Q21" i="1"/>
  <c r="P21" i="1"/>
  <c r="O21" i="1"/>
  <c r="N21" i="1"/>
  <c r="M21" i="1"/>
  <c r="L21" i="1"/>
  <c r="K21" i="1"/>
  <c r="J21" i="1"/>
  <c r="J5" i="1"/>
  <c r="K5" i="1" s="1"/>
  <c r="L5" i="1" s="1"/>
  <c r="M5" i="1" s="1"/>
  <c r="N5" i="1" s="1"/>
  <c r="O5" i="1" s="1"/>
  <c r="P5" i="1" s="1"/>
  <c r="Q5" i="1" s="1"/>
  <c r="R5" i="1" s="1"/>
  <c r="S5" i="1" s="1"/>
  <c r="D28" i="2" l="1"/>
  <c r="D32" i="2" s="1"/>
  <c r="Q21" i="2" s="1"/>
  <c r="J26" i="2"/>
  <c r="S20" i="2"/>
  <c r="Q20" i="2"/>
  <c r="Q24" i="2"/>
  <c r="M20" i="2"/>
  <c r="O20" i="2"/>
  <c r="L21" i="2"/>
  <c r="L22" i="2" s="1"/>
  <c r="N21" i="2"/>
  <c r="J31" i="2"/>
  <c r="O21" i="2"/>
  <c r="K20" i="2"/>
  <c r="O24" i="2"/>
  <c r="P21" i="2"/>
  <c r="P22" i="2" s="1"/>
  <c r="N20" i="2"/>
  <c r="R20" i="2"/>
  <c r="J20" i="2"/>
  <c r="F16" i="2"/>
  <c r="F13" i="2"/>
  <c r="J5" i="2"/>
  <c r="K5" i="2" s="1"/>
  <c r="D33" i="2"/>
  <c r="J15" i="2"/>
  <c r="J16" i="2" s="1"/>
  <c r="J11" i="2"/>
  <c r="K4" i="2"/>
  <c r="J10" i="2"/>
  <c r="J30" i="2" s="1"/>
  <c r="I28" i="1"/>
  <c r="S20" i="1"/>
  <c r="R20" i="1"/>
  <c r="Q20" i="1"/>
  <c r="P20" i="1"/>
  <c r="O20" i="1"/>
  <c r="N20" i="1"/>
  <c r="M20" i="1"/>
  <c r="L20" i="1"/>
  <c r="K20" i="1"/>
  <c r="J20" i="1"/>
  <c r="J4" i="1"/>
  <c r="D21" i="1"/>
  <c r="D12" i="1"/>
  <c r="D21" i="2" l="1"/>
  <c r="J23" i="1"/>
  <c r="J7" i="1" s="1"/>
  <c r="J8" i="1" s="1"/>
  <c r="M21" i="2"/>
  <c r="M22" i="2" s="1"/>
  <c r="K21" i="2"/>
  <c r="K22" i="2" s="1"/>
  <c r="J21" i="2"/>
  <c r="J22" i="2" s="1"/>
  <c r="R21" i="2"/>
  <c r="R22" i="2" s="1"/>
  <c r="D13" i="1"/>
  <c r="D13" i="2" s="1"/>
  <c r="D12" i="2"/>
  <c r="S21" i="2"/>
  <c r="Q22" i="2"/>
  <c r="D29" i="2"/>
  <c r="I34" i="2" s="1"/>
  <c r="I35" i="2" s="1"/>
  <c r="S22" i="2"/>
  <c r="O22" i="2"/>
  <c r="N22" i="2"/>
  <c r="K31" i="2"/>
  <c r="K26" i="2"/>
  <c r="J32" i="2"/>
  <c r="K11" i="2"/>
  <c r="L4" i="2"/>
  <c r="K15" i="2"/>
  <c r="K16" i="2" s="1"/>
  <c r="K10" i="2"/>
  <c r="K30" i="2" s="1"/>
  <c r="K32" i="2" s="1"/>
  <c r="L5" i="2"/>
  <c r="J7" i="2"/>
  <c r="J8" i="2" s="1"/>
  <c r="J12" i="2"/>
  <c r="J13" i="2" s="1"/>
  <c r="Q22" i="1"/>
  <c r="M22" i="1"/>
  <c r="P22" i="1"/>
  <c r="L22" i="1"/>
  <c r="S22" i="1"/>
  <c r="O22" i="1"/>
  <c r="K22" i="1"/>
  <c r="R22" i="1"/>
  <c r="N22" i="1"/>
  <c r="J22" i="1"/>
  <c r="J11" i="1"/>
  <c r="J15" i="1"/>
  <c r="J16" i="1" s="1"/>
  <c r="J10" i="1"/>
  <c r="J27" i="1" s="1"/>
  <c r="K4" i="1"/>
  <c r="K23" i="1" s="1"/>
  <c r="J24" i="1" l="1"/>
  <c r="J25" i="1" s="1"/>
  <c r="L25" i="2"/>
  <c r="M25" i="2"/>
  <c r="J25" i="2"/>
  <c r="J27" i="2" s="1"/>
  <c r="J28" i="2" s="1"/>
  <c r="S25" i="2"/>
  <c r="R25" i="2"/>
  <c r="O25" i="2"/>
  <c r="Q25" i="2"/>
  <c r="P25" i="2"/>
  <c r="K25" i="2"/>
  <c r="N25" i="2"/>
  <c r="K34" i="2"/>
  <c r="K27" i="2"/>
  <c r="L31" i="2"/>
  <c r="L26" i="2"/>
  <c r="J34" i="2"/>
  <c r="K12" i="2"/>
  <c r="K13" i="2" s="1"/>
  <c r="M5" i="2"/>
  <c r="K7" i="2"/>
  <c r="K8" i="2" s="1"/>
  <c r="L10" i="2"/>
  <c r="L30" i="2" s="1"/>
  <c r="L15" i="2"/>
  <c r="L16" i="2" s="1"/>
  <c r="L11" i="2"/>
  <c r="M4" i="2"/>
  <c r="K24" i="1"/>
  <c r="K25" i="1" s="1"/>
  <c r="K7" i="1"/>
  <c r="K8" i="1" s="1"/>
  <c r="J12" i="1"/>
  <c r="K11" i="1"/>
  <c r="K10" i="1"/>
  <c r="K27" i="1" s="1"/>
  <c r="K15" i="1"/>
  <c r="K16" i="1" s="1"/>
  <c r="L4" i="1"/>
  <c r="L23" i="1" l="1"/>
  <c r="L24" i="1" s="1"/>
  <c r="L25" i="1" s="1"/>
  <c r="J35" i="2"/>
  <c r="K28" i="2"/>
  <c r="K35" i="2" s="1"/>
  <c r="L32" i="2"/>
  <c r="L34" i="2" s="1"/>
  <c r="L27" i="2"/>
  <c r="M31" i="2"/>
  <c r="M26" i="2"/>
  <c r="M10" i="2"/>
  <c r="M30" i="2" s="1"/>
  <c r="M15" i="2"/>
  <c r="M16" i="2" s="1"/>
  <c r="M11" i="2"/>
  <c r="N4" i="2"/>
  <c r="L12" i="2"/>
  <c r="L13" i="2" s="1"/>
  <c r="N5" i="2"/>
  <c r="L7" i="2"/>
  <c r="L8" i="2" s="1"/>
  <c r="J13" i="1"/>
  <c r="J28" i="1" s="1"/>
  <c r="K12" i="1"/>
  <c r="L10" i="1"/>
  <c r="L27" i="1" s="1"/>
  <c r="L15" i="1"/>
  <c r="L16" i="1" s="1"/>
  <c r="L11" i="1"/>
  <c r="M4" i="1"/>
  <c r="L7" i="1" l="1"/>
  <c r="L8" i="1" s="1"/>
  <c r="M23" i="1"/>
  <c r="M24" i="1" s="1"/>
  <c r="M25" i="1" s="1"/>
  <c r="L28" i="2"/>
  <c r="L35" i="2" s="1"/>
  <c r="M32" i="2"/>
  <c r="M34" i="2" s="1"/>
  <c r="M27" i="2"/>
  <c r="N31" i="2"/>
  <c r="N26" i="2"/>
  <c r="O5" i="2"/>
  <c r="M7" i="2"/>
  <c r="M8" i="2" s="1"/>
  <c r="N15" i="2"/>
  <c r="N16" i="2" s="1"/>
  <c r="N11" i="2"/>
  <c r="O4" i="2"/>
  <c r="N10" i="2"/>
  <c r="N30" i="2" s="1"/>
  <c r="M12" i="2"/>
  <c r="M13" i="2" s="1"/>
  <c r="K13" i="1"/>
  <c r="K28" i="1" s="1"/>
  <c r="L12" i="1"/>
  <c r="M15" i="1"/>
  <c r="M16" i="1" s="1"/>
  <c r="M10" i="1"/>
  <c r="M27" i="1" s="1"/>
  <c r="M11" i="1"/>
  <c r="N4" i="1"/>
  <c r="M7" i="1" l="1"/>
  <c r="M8" i="1" s="1"/>
  <c r="N23" i="1"/>
  <c r="N24" i="1" s="1"/>
  <c r="N25" i="1" s="1"/>
  <c r="M28" i="2"/>
  <c r="M35" i="2" s="1"/>
  <c r="N32" i="2"/>
  <c r="N34" i="2" s="1"/>
  <c r="N27" i="2"/>
  <c r="O31" i="2"/>
  <c r="O26" i="2"/>
  <c r="N12" i="2"/>
  <c r="N13" i="2" s="1"/>
  <c r="N7" i="2"/>
  <c r="N8" i="2" s="1"/>
  <c r="P5" i="2"/>
  <c r="O11" i="2"/>
  <c r="P4" i="2"/>
  <c r="O15" i="2"/>
  <c r="O16" i="2" s="1"/>
  <c r="O10" i="2"/>
  <c r="O30" i="2" s="1"/>
  <c r="L13" i="1"/>
  <c r="L28" i="1" s="1"/>
  <c r="N11" i="1"/>
  <c r="N15" i="1"/>
  <c r="N16" i="1" s="1"/>
  <c r="N10" i="1"/>
  <c r="N27" i="1" s="1"/>
  <c r="M12" i="1"/>
  <c r="O4" i="1"/>
  <c r="O23" i="1" s="1"/>
  <c r="N7" i="1" l="1"/>
  <c r="N8" i="1" s="1"/>
  <c r="N28" i="2"/>
  <c r="N35" i="2" s="1"/>
  <c r="O32" i="2"/>
  <c r="O34" i="2" s="1"/>
  <c r="P31" i="2"/>
  <c r="P26" i="2"/>
  <c r="O27" i="2"/>
  <c r="P10" i="2"/>
  <c r="P30" i="2" s="1"/>
  <c r="P11" i="2"/>
  <c r="Q4" i="2"/>
  <c r="P15" i="2"/>
  <c r="P16" i="2" s="1"/>
  <c r="O12" i="2"/>
  <c r="O13" i="2" s="1"/>
  <c r="Q5" i="2"/>
  <c r="O7" i="2"/>
  <c r="O8" i="2" s="1"/>
  <c r="M13" i="1"/>
  <c r="M28" i="1" s="1"/>
  <c r="O24" i="1"/>
  <c r="O25" i="1" s="1"/>
  <c r="O7" i="1"/>
  <c r="O8" i="1" s="1"/>
  <c r="N12" i="1"/>
  <c r="O11" i="1"/>
  <c r="O10" i="1"/>
  <c r="O27" i="1" s="1"/>
  <c r="O15" i="1"/>
  <c r="O16" i="1" s="1"/>
  <c r="P4" i="1"/>
  <c r="P23" i="1" l="1"/>
  <c r="P24" i="1" s="1"/>
  <c r="P25" i="1" s="1"/>
  <c r="O28" i="2"/>
  <c r="O35" i="2" s="1"/>
  <c r="P32" i="2"/>
  <c r="P34" i="2" s="1"/>
  <c r="Q31" i="2"/>
  <c r="Q26" i="2"/>
  <c r="P27" i="2"/>
  <c r="P7" i="2"/>
  <c r="P8" i="2" s="1"/>
  <c r="Q10" i="2"/>
  <c r="Q30" i="2" s="1"/>
  <c r="Q15" i="2"/>
  <c r="Q16" i="2" s="1"/>
  <c r="Q11" i="2"/>
  <c r="R4" i="2"/>
  <c r="P12" i="2"/>
  <c r="P13" i="2" s="1"/>
  <c r="R5" i="2"/>
  <c r="N13" i="1"/>
  <c r="N28" i="1" s="1"/>
  <c r="O12" i="1"/>
  <c r="P10" i="1"/>
  <c r="P27" i="1" s="1"/>
  <c r="P15" i="1"/>
  <c r="P16" i="1" s="1"/>
  <c r="P11" i="1"/>
  <c r="Q4" i="1"/>
  <c r="Q23" i="1" s="1"/>
  <c r="P7" i="1" l="1"/>
  <c r="P8" i="1" s="1"/>
  <c r="P28" i="2"/>
  <c r="P35" i="2" s="1"/>
  <c r="Q32" i="2"/>
  <c r="Q34" i="2" s="1"/>
  <c r="R31" i="2"/>
  <c r="R26" i="2"/>
  <c r="Q7" i="2"/>
  <c r="Q8" i="2" s="1"/>
  <c r="Q27" i="2"/>
  <c r="S5" i="2"/>
  <c r="R15" i="2"/>
  <c r="R16" i="2" s="1"/>
  <c r="R11" i="2"/>
  <c r="R10" i="2"/>
  <c r="R30" i="2" s="1"/>
  <c r="S4" i="2"/>
  <c r="Q12" i="2"/>
  <c r="Q13" i="2" s="1"/>
  <c r="O13" i="1"/>
  <c r="O28" i="1" s="1"/>
  <c r="Q24" i="1"/>
  <c r="Q25" i="1" s="1"/>
  <c r="Q7" i="1"/>
  <c r="Q8" i="1" s="1"/>
  <c r="P12" i="1"/>
  <c r="Q15" i="1"/>
  <c r="Q16" i="1" s="1"/>
  <c r="Q10" i="1"/>
  <c r="Q27" i="1" s="1"/>
  <c r="Q11" i="1"/>
  <c r="R4" i="1"/>
  <c r="R23" i="1" s="1"/>
  <c r="Q28" i="2" l="1"/>
  <c r="Q35" i="2" s="1"/>
  <c r="R32" i="2"/>
  <c r="R34" i="2" s="1"/>
  <c r="R27" i="2"/>
  <c r="S31" i="2"/>
  <c r="S26" i="2"/>
  <c r="S10" i="2"/>
  <c r="S30" i="2" s="1"/>
  <c r="R7" i="2"/>
  <c r="R8" i="2" s="1"/>
  <c r="R12" i="2"/>
  <c r="R13" i="2" s="1"/>
  <c r="P13" i="1"/>
  <c r="P28" i="1" s="1"/>
  <c r="R24" i="1"/>
  <c r="R25" i="1" s="1"/>
  <c r="R7" i="1"/>
  <c r="R8" i="1" s="1"/>
  <c r="R11" i="1"/>
  <c r="R15" i="1"/>
  <c r="R16" i="1" s="1"/>
  <c r="R10" i="1"/>
  <c r="R27" i="1" s="1"/>
  <c r="Q12" i="1"/>
  <c r="S4" i="1"/>
  <c r="S23" i="1" s="1"/>
  <c r="R28" i="2" l="1"/>
  <c r="R35" i="2" s="1"/>
  <c r="S32" i="2"/>
  <c r="S34" i="2" s="1"/>
  <c r="D6" i="2" s="1"/>
  <c r="S27" i="2"/>
  <c r="S7" i="2"/>
  <c r="Q13" i="1"/>
  <c r="Q28" i="1" s="1"/>
  <c r="S10" i="1"/>
  <c r="S27" i="1" s="1"/>
  <c r="R12" i="1"/>
  <c r="S28" i="2" l="1"/>
  <c r="D5" i="2"/>
  <c r="S8" i="2"/>
  <c r="S11" i="2" s="1"/>
  <c r="S12" i="2" s="1"/>
  <c r="S13" i="2" s="1"/>
  <c r="S15" i="2"/>
  <c r="S16" i="2" s="1"/>
  <c r="D5" i="1"/>
  <c r="D6" i="1"/>
  <c r="R13" i="1"/>
  <c r="R28" i="1" s="1"/>
  <c r="S24" i="1"/>
  <c r="S25" i="1" s="1"/>
  <c r="S7" i="1"/>
  <c r="S15" i="1" s="1"/>
  <c r="S16" i="1" s="1"/>
  <c r="S35" i="2" l="1"/>
  <c r="S8" i="1"/>
  <c r="S11" i="1" s="1"/>
  <c r="S12" i="1" s="1"/>
  <c r="D7" i="2" l="1"/>
  <c r="D8" i="2"/>
  <c r="S13" i="1"/>
  <c r="S28" i="1" s="1"/>
  <c r="D7" i="1" l="1"/>
  <c r="D8" i="1"/>
</calcChain>
</file>

<file path=xl/sharedStrings.xml><?xml version="1.0" encoding="utf-8"?>
<sst xmlns="http://schemas.openxmlformats.org/spreadsheetml/2006/main" count="96" uniqueCount="63">
  <si>
    <t>Net Operating Income</t>
  </si>
  <si>
    <t>- Capital Expenditures</t>
  </si>
  <si>
    <t>Cash Flow from Operations</t>
  </si>
  <si>
    <t>- Debt Service</t>
  </si>
  <si>
    <t>Cash Flow after Financing</t>
  </si>
  <si>
    <t>Land Value</t>
  </si>
  <si>
    <t>Depreciable Basis</t>
  </si>
  <si>
    <t>Income Tax Rate</t>
  </si>
  <si>
    <t>Recapture Tax Rate</t>
  </si>
  <si>
    <t>Capital Gains Tax Rate</t>
  </si>
  <si>
    <t>Project Type</t>
  </si>
  <si>
    <t>RE Recoverable Life</t>
  </si>
  <si>
    <t>CapEx Recoverable Life</t>
  </si>
  <si>
    <t>Residential</t>
  </si>
  <si>
    <t>Gross Purchase Price</t>
  </si>
  <si>
    <t>Analysis Period</t>
  </si>
  <si>
    <t>Financing Assumptions</t>
  </si>
  <si>
    <t>General Assumptions</t>
  </si>
  <si>
    <t>Loan Amount</t>
  </si>
  <si>
    <t>Equity Required</t>
  </si>
  <si>
    <t>Interest Rate</t>
  </si>
  <si>
    <t>Amortization</t>
  </si>
  <si>
    <t>Payment (Annual)</t>
  </si>
  <si>
    <t>Total Depreciable Basis</t>
  </si>
  <si>
    <t>Net Book Value</t>
  </si>
  <si>
    <t>Tax Calculation</t>
  </si>
  <si>
    <t>- Net Book Value</t>
  </si>
  <si>
    <t>Gain on Sale</t>
  </si>
  <si>
    <t>RE + CapEx Depreciated</t>
  </si>
  <si>
    <t>+ Cap Ex</t>
  </si>
  <si>
    <t>- RE Depreciation</t>
  </si>
  <si>
    <t>- RE Depreciated (Cumulative)</t>
  </si>
  <si>
    <t>- CapEx Depreciated (Cumulative)</t>
  </si>
  <si>
    <t>- CapEx Depreciation</t>
  </si>
  <si>
    <t>Taxable Income</t>
  </si>
  <si>
    <t>After Tax Unlevered IRR</t>
  </si>
  <si>
    <t>After Tax Unlevered EMx</t>
  </si>
  <si>
    <t>1031 Exchange at Exit?</t>
  </si>
  <si>
    <t>No</t>
  </si>
  <si>
    <t>Summary of Returns</t>
  </si>
  <si>
    <t>Before Tax Unlevered IRR</t>
  </si>
  <si>
    <t>Total After Tax Unlevered CF</t>
  </si>
  <si>
    <t>Total Before Tax Unlevered CF</t>
  </si>
  <si>
    <t>Unlevered After Tax Return Calculation</t>
  </si>
  <si>
    <t>Before Tax Unlevered EMx</t>
  </si>
  <si>
    <t>Levered After Tax Return Calculation</t>
  </si>
  <si>
    <t>Loan Payoff</t>
  </si>
  <si>
    <t>Net Proceeds from Sale</t>
  </si>
  <si>
    <t>Net Terminal Value</t>
  </si>
  <si>
    <t>+ Amortization Principal</t>
  </si>
  <si>
    <t>Before Tax Levered IRR</t>
  </si>
  <si>
    <t>Before Tax Levered EMx</t>
  </si>
  <si>
    <t>After Tax Levered IRR</t>
  </si>
  <si>
    <t>After Tax Levered EMx</t>
  </si>
  <si>
    <t>1031 Exchange upon Exit?</t>
  </si>
  <si>
    <t>Author: Spencer Burton</t>
  </si>
  <si>
    <t>Property Types:</t>
  </si>
  <si>
    <t>For more information vist:</t>
  </si>
  <si>
    <t>www.adventuresincre.com</t>
  </si>
  <si>
    <t>www.spencerburton.org</t>
  </si>
  <si>
    <t>After Tax Cash Flow Analysis</t>
  </si>
  <si>
    <t>All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</si>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</sst>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0.0\ &quot;Years&quot;"/>
    <numFmt numFmtId="165" formatCode="&quot;Year&quot;\ 0"/>
    <numFmt numFmtId="166" formatCode="0.00&quot;X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mbria"/>
      <family val="1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6" fontId="3" fillId="0" borderId="0" xfId="0" applyNumberFormat="1" applyFont="1"/>
    <xf numFmtId="6" fontId="0" fillId="0" borderId="0" xfId="0" applyNumberFormat="1"/>
    <xf numFmtId="6" fontId="4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0" fontId="5" fillId="0" borderId="0" xfId="1"/>
    <xf numFmtId="37" fontId="3" fillId="0" borderId="0" xfId="0" applyNumberFormat="1" applyFont="1"/>
    <xf numFmtId="37" fontId="0" fillId="0" borderId="0" xfId="0" applyNumberFormat="1"/>
    <xf numFmtId="10" fontId="3" fillId="0" borderId="0" xfId="0" applyNumberFormat="1" applyFont="1"/>
    <xf numFmtId="10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37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9" fontId="3" fillId="0" borderId="0" xfId="0" applyNumberFormat="1" applyFont="1" applyAlignment="1">
      <alignment horizontal="right"/>
    </xf>
    <xf numFmtId="0" fontId="1" fillId="2" borderId="2" xfId="0" applyFont="1" applyFill="1" applyBorder="1"/>
    <xf numFmtId="0" fontId="0" fillId="2" borderId="2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6" fontId="6" fillId="0" borderId="0" xfId="0" applyNumberFormat="1" applyFont="1"/>
    <xf numFmtId="6" fontId="7" fillId="0" borderId="0" xfId="0" applyNumberFormat="1" applyFont="1"/>
    <xf numFmtId="0" fontId="7" fillId="0" borderId="0" xfId="0" applyFont="1"/>
    <xf numFmtId="9" fontId="7" fillId="0" borderId="0" xfId="0" applyNumberFormat="1" applyFont="1"/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/>
    <xf numFmtId="3" fontId="7" fillId="0" borderId="0" xfId="0" applyNumberFormat="1" applyFont="1"/>
    <xf numFmtId="166" fontId="1" fillId="0" borderId="0" xfId="0" applyNumberFormat="1" applyFont="1"/>
    <xf numFmtId="0" fontId="0" fillId="4" borderId="0" xfId="0" applyFill="1" applyProtection="1"/>
    <xf numFmtId="0" fontId="0" fillId="3" borderId="0" xfId="0" applyFill="1" applyProtection="1"/>
    <xf numFmtId="0" fontId="1" fillId="3" borderId="0" xfId="0" applyFont="1" applyFill="1" applyProtection="1"/>
    <xf numFmtId="0" fontId="5" fillId="3" borderId="0" xfId="1" applyFill="1" applyAlignment="1" applyProtection="1">
      <alignment horizontal="left" indent="1"/>
    </xf>
    <xf numFmtId="0" fontId="9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://www.spencerburton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publications/p527/ch0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rs.gov/publications/p527/ch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K9"/>
  <sheetViews>
    <sheetView workbookViewId="0"/>
  </sheetViews>
  <sheetFormatPr defaultColWidth="9.140625" defaultRowHeight="15" x14ac:dyDescent="0.25"/>
  <cols>
    <col min="1" max="1" width="2.28515625" style="44" customWidth="1"/>
    <col min="2" max="16384" width="9.140625" style="44"/>
  </cols>
  <sheetData>
    <row r="2" spans="2:11" ht="15.75" x14ac:dyDescent="0.25">
      <c r="B2" s="49" t="s">
        <v>60</v>
      </c>
      <c r="C2" s="49"/>
      <c r="D2" s="49"/>
      <c r="E2" s="49"/>
      <c r="F2" s="49"/>
      <c r="G2" s="49"/>
      <c r="H2" s="49"/>
      <c r="I2" s="49"/>
      <c r="J2" s="49"/>
      <c r="K2" s="49"/>
    </row>
    <row r="3" spans="2:1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2:11" x14ac:dyDescent="0.25">
      <c r="B4" s="46" t="s">
        <v>55</v>
      </c>
      <c r="C4" s="45"/>
      <c r="D4" s="45"/>
      <c r="E4" s="45"/>
      <c r="F4" s="45"/>
      <c r="G4" s="45"/>
      <c r="H4" s="45"/>
      <c r="I4" s="46" t="s">
        <v>56</v>
      </c>
      <c r="J4" s="45"/>
      <c r="K4" s="45"/>
    </row>
    <row r="5" spans="2:11" x14ac:dyDescent="0.25">
      <c r="B5" s="46"/>
      <c r="C5" s="45"/>
      <c r="D5" s="45"/>
      <c r="E5" s="45"/>
      <c r="F5" s="45"/>
      <c r="G5" s="45"/>
      <c r="H5" s="45"/>
      <c r="I5" s="45"/>
      <c r="J5" s="45"/>
      <c r="K5" s="45"/>
    </row>
    <row r="6" spans="2:11" x14ac:dyDescent="0.25">
      <c r="B6" s="45" t="s">
        <v>57</v>
      </c>
      <c r="C6" s="45"/>
      <c r="D6" s="45"/>
      <c r="E6" s="45"/>
      <c r="F6" s="45"/>
      <c r="G6" s="45"/>
      <c r="H6" s="45"/>
      <c r="I6" s="45" t="s">
        <v>61</v>
      </c>
      <c r="J6" s="45"/>
      <c r="K6" s="45"/>
    </row>
    <row r="7" spans="2:11" x14ac:dyDescent="0.25">
      <c r="B7" s="47" t="s">
        <v>58</v>
      </c>
      <c r="C7" s="45"/>
      <c r="D7" s="45"/>
      <c r="E7" s="45"/>
      <c r="F7" s="45"/>
      <c r="G7" s="45"/>
      <c r="H7" s="45"/>
      <c r="I7" s="45"/>
      <c r="J7" s="45"/>
      <c r="K7" s="45"/>
    </row>
    <row r="8" spans="2:11" x14ac:dyDescent="0.25">
      <c r="B8" s="47" t="s">
        <v>59</v>
      </c>
      <c r="C8" s="45"/>
      <c r="D8" s="45"/>
      <c r="E8" s="45"/>
      <c r="F8" s="45"/>
      <c r="G8" s="45"/>
      <c r="H8" s="45"/>
      <c r="I8" s="45"/>
      <c r="J8" s="45"/>
      <c r="K8" s="45"/>
    </row>
    <row r="9" spans="2:11" x14ac:dyDescent="0.25">
      <c r="B9" s="45"/>
      <c r="C9" s="45"/>
      <c r="D9" s="45"/>
      <c r="E9" s="45"/>
      <c r="F9" s="45"/>
      <c r="G9" s="45"/>
      <c r="H9" s="45"/>
      <c r="I9" s="45"/>
      <c r="J9" s="45"/>
      <c r="K9" s="48" t="s">
        <v>62</v>
      </c>
    </row>
  </sheetData>
  <sheetProtection algorithmName="SHA-512" hashValue="22tcfG953QiYgkX2r353rzVXnA54jTPBAZI/PRDgqT5KU+TAJxOHgWBwiy/jMNbP8n2GJY9+YdxkUBonTLibpg==" saltValue="vbHvIgVBo1NPM29clz1VAg==" spinCount="100000" sheet="1" objects="1" scenarios="1"/>
  <mergeCells count="1">
    <mergeCell ref="B2:K2"/>
  </mergeCells>
  <hyperlinks>
    <hyperlink ref="B8" r:id="rId1"/>
    <hyperlink ref="B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showGridLines="0" zoomScale="85" zoomScaleNormal="85" workbookViewId="0">
      <selection activeCell="J6" sqref="J6"/>
    </sheetView>
  </sheetViews>
  <sheetFormatPr defaultColWidth="0" defaultRowHeight="15" x14ac:dyDescent="0.25"/>
  <cols>
    <col min="1" max="1" width="1.7109375" customWidth="1"/>
    <col min="2" max="2" width="11.7109375" style="2" customWidth="1"/>
    <col min="3" max="3" width="13.5703125" customWidth="1"/>
    <col min="4" max="4" width="12" bestFit="1" customWidth="1"/>
    <col min="5" max="8" width="8.85546875" customWidth="1"/>
    <col min="9" max="9" width="13.7109375" bestFit="1" customWidth="1"/>
    <col min="10" max="19" width="10.7109375" style="20" customWidth="1"/>
    <col min="20" max="25" width="8.85546875" customWidth="1"/>
    <col min="26" max="16384" width="8.85546875" hidden="1"/>
  </cols>
  <sheetData>
    <row r="1" spans="2:25" ht="10.15" customHeight="1" x14ac:dyDescent="0.25">
      <c r="B1"/>
      <c r="J1"/>
      <c r="K1"/>
      <c r="L1"/>
      <c r="M1"/>
      <c r="N1"/>
      <c r="O1"/>
      <c r="P1"/>
      <c r="Q1"/>
      <c r="R1"/>
      <c r="S1"/>
    </row>
    <row r="2" spans="2:25" x14ac:dyDescent="0.25">
      <c r="B2" s="26" t="s">
        <v>43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2:25" x14ac:dyDescent="0.25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U3" s="30"/>
      <c r="V3" s="30"/>
      <c r="W3" s="30"/>
      <c r="X3" s="30"/>
      <c r="Y3" s="30"/>
    </row>
    <row r="4" spans="2:25" x14ac:dyDescent="0.25">
      <c r="B4" s="1" t="s">
        <v>39</v>
      </c>
      <c r="F4" s="31" t="s">
        <v>25</v>
      </c>
      <c r="G4" s="32"/>
      <c r="H4" s="32"/>
      <c r="I4" s="33">
        <v>0</v>
      </c>
      <c r="J4" s="33">
        <f>I4+1</f>
        <v>1</v>
      </c>
      <c r="K4" s="33">
        <f t="shared" ref="K4:S4" si="0">J4+1</f>
        <v>2</v>
      </c>
      <c r="L4" s="33">
        <f t="shared" si="0"/>
        <v>3</v>
      </c>
      <c r="M4" s="33">
        <f t="shared" si="0"/>
        <v>4</v>
      </c>
      <c r="N4" s="33">
        <f t="shared" si="0"/>
        <v>5</v>
      </c>
      <c r="O4" s="33">
        <f t="shared" si="0"/>
        <v>6</v>
      </c>
      <c r="P4" s="33">
        <f t="shared" si="0"/>
        <v>7</v>
      </c>
      <c r="Q4" s="33">
        <f t="shared" si="0"/>
        <v>8</v>
      </c>
      <c r="R4" s="33">
        <f t="shared" si="0"/>
        <v>9</v>
      </c>
      <c r="S4" s="33">
        <f t="shared" si="0"/>
        <v>10</v>
      </c>
    </row>
    <row r="5" spans="2:25" x14ac:dyDescent="0.25">
      <c r="B5" s="18" t="s">
        <v>40</v>
      </c>
      <c r="D5" s="16">
        <f>IRR(I27:S27)</f>
        <v>8.3525128271097593E-2</v>
      </c>
      <c r="F5" s="3" t="s">
        <v>23</v>
      </c>
      <c r="I5" s="20">
        <f>D11</f>
        <v>15000000</v>
      </c>
      <c r="J5" s="20">
        <f t="shared" ref="J5:S5" si="1">I5+J19</f>
        <v>15045000</v>
      </c>
      <c r="K5" s="20">
        <f t="shared" si="1"/>
        <v>15091350</v>
      </c>
      <c r="L5" s="20">
        <f t="shared" si="1"/>
        <v>15139090.5</v>
      </c>
      <c r="M5" s="20">
        <f t="shared" si="1"/>
        <v>15188263.215</v>
      </c>
      <c r="N5" s="20">
        <f t="shared" si="1"/>
        <v>15238911.11145</v>
      </c>
      <c r="O5" s="20">
        <f t="shared" si="1"/>
        <v>15291078.4447935</v>
      </c>
      <c r="P5" s="20">
        <f t="shared" si="1"/>
        <v>15344810.798137305</v>
      </c>
      <c r="Q5" s="20">
        <f t="shared" si="1"/>
        <v>15400155.122081425</v>
      </c>
      <c r="R5" s="20">
        <f t="shared" si="1"/>
        <v>15457159.775743868</v>
      </c>
      <c r="S5" s="20">
        <f t="shared" si="1"/>
        <v>15515874.569016185</v>
      </c>
    </row>
    <row r="6" spans="2:25" x14ac:dyDescent="0.25">
      <c r="B6" s="18" t="s">
        <v>44</v>
      </c>
      <c r="D6" s="17">
        <f>SUMIF($I$27:$S$27,"&gt;0")/-SUMIF($I$27:$S$27,"&lt;0")</f>
        <v>1.951104995499521</v>
      </c>
      <c r="F6" s="4" t="s">
        <v>31</v>
      </c>
      <c r="I6" s="20"/>
      <c r="J6" s="20">
        <f>$D$13/$D$21+I6</f>
        <v>409090.90909090912</v>
      </c>
      <c r="K6" s="20">
        <f t="shared" ref="K6:S6" si="2">$D$13/$D$21+J6</f>
        <v>818181.81818181823</v>
      </c>
      <c r="L6" s="20">
        <f t="shared" si="2"/>
        <v>1227272.7272727273</v>
      </c>
      <c r="M6" s="20">
        <f t="shared" si="2"/>
        <v>1636363.6363636365</v>
      </c>
      <c r="N6" s="20">
        <f t="shared" si="2"/>
        <v>2045454.5454545456</v>
      </c>
      <c r="O6" s="20">
        <f t="shared" si="2"/>
        <v>2454545.4545454546</v>
      </c>
      <c r="P6" s="20">
        <f t="shared" si="2"/>
        <v>2863636.3636363638</v>
      </c>
      <c r="Q6" s="20">
        <f t="shared" si="2"/>
        <v>3272727.2727272729</v>
      </c>
      <c r="R6" s="20">
        <f t="shared" si="2"/>
        <v>3681818.1818181821</v>
      </c>
      <c r="S6" s="20">
        <f t="shared" si="2"/>
        <v>4090909.0909090913</v>
      </c>
    </row>
    <row r="7" spans="2:25" x14ac:dyDescent="0.25">
      <c r="B7" s="18" t="s">
        <v>35</v>
      </c>
      <c r="D7" s="16">
        <f ca="1">IRR(I28:S28)</f>
        <v>6.1777132206122465E-2</v>
      </c>
      <c r="F7" s="4" t="s">
        <v>32</v>
      </c>
      <c r="I7" s="20"/>
      <c r="J7" s="21">
        <f ca="1">SUM($J$23:J23)</f>
        <v>6428.5714285714284</v>
      </c>
      <c r="K7" s="21">
        <f ca="1">SUM($J$23:K23)</f>
        <v>19478.571428571428</v>
      </c>
      <c r="L7" s="21">
        <f ca="1">SUM($J$23:L23)</f>
        <v>39348.642857142855</v>
      </c>
      <c r="M7" s="21">
        <f ca="1">SUM($J$23:M23)</f>
        <v>66243.38785714285</v>
      </c>
      <c r="N7" s="21">
        <f ca="1">SUM($J$23:N23)</f>
        <v>100373.54663571427</v>
      </c>
      <c r="O7" s="21">
        <f ca="1">SUM($J$23:O23)</f>
        <v>141956.18160621426</v>
      </c>
      <c r="P7" s="21">
        <f ca="1">SUM($J$23:P23)</f>
        <v>191214.86705440067</v>
      </c>
      <c r="Q7" s="21">
        <f ca="1">SUM($J$23:Q23)</f>
        <v>241951.31306603272</v>
      </c>
      <c r="R7" s="21">
        <f ca="1">SUM($J$23:R23)</f>
        <v>294209.85245801369</v>
      </c>
      <c r="S7" s="21">
        <f ca="1">SUM($J$23:S23)</f>
        <v>348036.14803175413</v>
      </c>
    </row>
    <row r="8" spans="2:25" x14ac:dyDescent="0.25">
      <c r="B8" s="18" t="s">
        <v>36</v>
      </c>
      <c r="D8" s="17">
        <f ca="1">SUMIF($I$28:$S$28,"&gt;0")/-SUMIF($I$28:$S$28,"&lt;0")</f>
        <v>1.6652101020246699</v>
      </c>
      <c r="F8" t="s">
        <v>24</v>
      </c>
      <c r="I8" s="20"/>
      <c r="J8" s="20">
        <f ca="1">J5-J6-J7</f>
        <v>14629480.519480521</v>
      </c>
      <c r="K8" s="20">
        <f t="shared" ref="K8:S8" ca="1" si="3">K5-K6-K7</f>
        <v>14253689.610389611</v>
      </c>
      <c r="L8" s="20">
        <f t="shared" ca="1" si="3"/>
        <v>13872469.12987013</v>
      </c>
      <c r="M8" s="20">
        <f t="shared" ca="1" si="3"/>
        <v>13485656.19077922</v>
      </c>
      <c r="N8" s="20">
        <f t="shared" ca="1" si="3"/>
        <v>13093083.019359741</v>
      </c>
      <c r="O8" s="20">
        <f t="shared" ca="1" si="3"/>
        <v>12694576.80864183</v>
      </c>
      <c r="P8" s="20">
        <f t="shared" ca="1" si="3"/>
        <v>12289959.567446541</v>
      </c>
      <c r="Q8" s="20">
        <f t="shared" ca="1" si="3"/>
        <v>11885476.53628812</v>
      </c>
      <c r="R8" s="20">
        <f t="shared" ca="1" si="3"/>
        <v>11481131.741467673</v>
      </c>
      <c r="S8" s="20">
        <f t="shared" ca="1" si="3"/>
        <v>11076929.330075338</v>
      </c>
    </row>
    <row r="9" spans="2:25" x14ac:dyDescent="0.25">
      <c r="B9" s="1"/>
      <c r="I9" s="20"/>
    </row>
    <row r="10" spans="2:25" x14ac:dyDescent="0.25">
      <c r="B10" s="1" t="s">
        <v>17</v>
      </c>
      <c r="F10" s="3" t="s">
        <v>48</v>
      </c>
      <c r="I10" s="20"/>
      <c r="J10" s="20">
        <f t="shared" ref="J10:S10" si="4">IF(J4=$D$24,$D$25,0)</f>
        <v>0</v>
      </c>
      <c r="K10" s="20">
        <f t="shared" si="4"/>
        <v>0</v>
      </c>
      <c r="L10" s="20">
        <f t="shared" si="4"/>
        <v>0</v>
      </c>
      <c r="M10" s="20">
        <f t="shared" si="4"/>
        <v>0</v>
      </c>
      <c r="N10" s="20">
        <f t="shared" si="4"/>
        <v>0</v>
      </c>
      <c r="O10" s="20">
        <f t="shared" si="4"/>
        <v>0</v>
      </c>
      <c r="P10" s="20">
        <f t="shared" si="4"/>
        <v>0</v>
      </c>
      <c r="Q10" s="20">
        <f t="shared" si="4"/>
        <v>0</v>
      </c>
      <c r="R10" s="20">
        <f t="shared" si="4"/>
        <v>0</v>
      </c>
      <c r="S10" s="20">
        <f t="shared" si="4"/>
        <v>20150000</v>
      </c>
    </row>
    <row r="11" spans="2:25" x14ac:dyDescent="0.25">
      <c r="B11" t="s">
        <v>14</v>
      </c>
      <c r="D11" s="5">
        <v>15000000</v>
      </c>
      <c r="F11" s="4" t="s">
        <v>26</v>
      </c>
      <c r="I11" s="20"/>
      <c r="J11" s="21">
        <f t="shared" ref="J11:S11" si="5">IF(J4=$D$24,J8,0)</f>
        <v>0</v>
      </c>
      <c r="K11" s="21">
        <f t="shared" si="5"/>
        <v>0</v>
      </c>
      <c r="L11" s="21">
        <f t="shared" si="5"/>
        <v>0</v>
      </c>
      <c r="M11" s="21">
        <f t="shared" si="5"/>
        <v>0</v>
      </c>
      <c r="N11" s="21">
        <f t="shared" si="5"/>
        <v>0</v>
      </c>
      <c r="O11" s="21">
        <f t="shared" si="5"/>
        <v>0</v>
      </c>
      <c r="P11" s="21">
        <f t="shared" si="5"/>
        <v>0</v>
      </c>
      <c r="Q11" s="21">
        <f t="shared" si="5"/>
        <v>0</v>
      </c>
      <c r="R11" s="21">
        <f t="shared" si="5"/>
        <v>0</v>
      </c>
      <c r="S11" s="21">
        <f t="shared" ca="1" si="5"/>
        <v>11076929.330075338</v>
      </c>
    </row>
    <row r="12" spans="2:25" x14ac:dyDescent="0.25">
      <c r="B12" s="2" t="s">
        <v>5</v>
      </c>
      <c r="D12" s="7">
        <f>D11*0.25</f>
        <v>3750000</v>
      </c>
      <c r="F12" s="18" t="s">
        <v>27</v>
      </c>
      <c r="I12" s="20"/>
      <c r="J12" s="20">
        <f>J10-J11</f>
        <v>0</v>
      </c>
      <c r="K12" s="20">
        <f t="shared" ref="K12:S12" si="6">K10-K11</f>
        <v>0</v>
      </c>
      <c r="L12" s="20">
        <f t="shared" si="6"/>
        <v>0</v>
      </c>
      <c r="M12" s="20">
        <f t="shared" si="6"/>
        <v>0</v>
      </c>
      <c r="N12" s="20">
        <f t="shared" si="6"/>
        <v>0</v>
      </c>
      <c r="O12" s="20">
        <f t="shared" si="6"/>
        <v>0</v>
      </c>
      <c r="P12" s="20">
        <f t="shared" si="6"/>
        <v>0</v>
      </c>
      <c r="Q12" s="20">
        <f t="shared" si="6"/>
        <v>0</v>
      </c>
      <c r="R12" s="20">
        <f t="shared" si="6"/>
        <v>0</v>
      </c>
      <c r="S12" s="20">
        <f t="shared" ca="1" si="6"/>
        <v>9073070.6699246615</v>
      </c>
    </row>
    <row r="13" spans="2:25" x14ac:dyDescent="0.25">
      <c r="B13" s="2" t="s">
        <v>6</v>
      </c>
      <c r="D13" s="6">
        <f>D11-D12</f>
        <v>11250000</v>
      </c>
      <c r="F13" s="1" t="str">
        <f>IF(D18="Yes","Capital Gains Tax Deferred","Capital Gains Tax Payable @ "&amp;TEXT($D$17,"0%"))</f>
        <v>Capital Gains Tax Payable @ 15%</v>
      </c>
      <c r="G13" s="1"/>
      <c r="H13" s="1"/>
      <c r="I13" s="22"/>
      <c r="J13" s="22">
        <f t="shared" ref="J13:S13" si="7">IF($D$18="Yes",0,J12*$D$17)</f>
        <v>0</v>
      </c>
      <c r="K13" s="22">
        <f t="shared" si="7"/>
        <v>0</v>
      </c>
      <c r="L13" s="22">
        <f t="shared" si="7"/>
        <v>0</v>
      </c>
      <c r="M13" s="22">
        <f t="shared" si="7"/>
        <v>0</v>
      </c>
      <c r="N13" s="22">
        <f t="shared" si="7"/>
        <v>0</v>
      </c>
      <c r="O13" s="22">
        <f t="shared" si="7"/>
        <v>0</v>
      </c>
      <c r="P13" s="22">
        <f t="shared" si="7"/>
        <v>0</v>
      </c>
      <c r="Q13" s="22">
        <f t="shared" si="7"/>
        <v>0</v>
      </c>
      <c r="R13" s="22">
        <f t="shared" si="7"/>
        <v>0</v>
      </c>
      <c r="S13" s="22">
        <f t="shared" ca="1" si="7"/>
        <v>1360960.6004886993</v>
      </c>
    </row>
    <row r="14" spans="2:25" x14ac:dyDescent="0.25">
      <c r="I14" s="20"/>
    </row>
    <row r="15" spans="2:25" x14ac:dyDescent="0.25">
      <c r="B15" s="2" t="s">
        <v>7</v>
      </c>
      <c r="D15" s="8">
        <v>0.35</v>
      </c>
      <c r="F15" t="s">
        <v>28</v>
      </c>
      <c r="I15" s="20"/>
      <c r="J15" s="20">
        <f t="shared" ref="J15:S15" si="8">IF(J4=$D$24,J6+J7,0)</f>
        <v>0</v>
      </c>
      <c r="K15" s="20">
        <f t="shared" si="8"/>
        <v>0</v>
      </c>
      <c r="L15" s="20">
        <f t="shared" si="8"/>
        <v>0</v>
      </c>
      <c r="M15" s="20">
        <f t="shared" si="8"/>
        <v>0</v>
      </c>
      <c r="N15" s="20">
        <f t="shared" si="8"/>
        <v>0</v>
      </c>
      <c r="O15" s="20">
        <f t="shared" si="8"/>
        <v>0</v>
      </c>
      <c r="P15" s="20">
        <f t="shared" si="8"/>
        <v>0</v>
      </c>
      <c r="Q15" s="20">
        <f t="shared" si="8"/>
        <v>0</v>
      </c>
      <c r="R15" s="20">
        <f t="shared" si="8"/>
        <v>0</v>
      </c>
      <c r="S15" s="20">
        <f t="shared" ca="1" si="8"/>
        <v>4438945.2389408452</v>
      </c>
    </row>
    <row r="16" spans="2:25" x14ac:dyDescent="0.25">
      <c r="B16" s="2" t="s">
        <v>8</v>
      </c>
      <c r="D16" s="8">
        <v>0.25</v>
      </c>
      <c r="F16" s="1" t="str">
        <f>IF(D18="Yes","Depreciation Recapture Deferred","Recapture Tax Payable @ "&amp;TEXT($D$16,"0%"))</f>
        <v>Recapture Tax Payable @ 25%</v>
      </c>
      <c r="G16" s="1"/>
      <c r="H16" s="1"/>
      <c r="I16" s="22"/>
      <c r="J16" s="22">
        <f t="shared" ref="J16:S16" si="9">IF($D$18="Yes",0,J15*$D$16)</f>
        <v>0</v>
      </c>
      <c r="K16" s="22">
        <f t="shared" si="9"/>
        <v>0</v>
      </c>
      <c r="L16" s="22">
        <f t="shared" si="9"/>
        <v>0</v>
      </c>
      <c r="M16" s="22">
        <f t="shared" si="9"/>
        <v>0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22">
        <f t="shared" si="9"/>
        <v>0</v>
      </c>
      <c r="S16" s="22">
        <f t="shared" ca="1" si="9"/>
        <v>1109736.3097352113</v>
      </c>
    </row>
    <row r="17" spans="2:19" x14ac:dyDescent="0.25">
      <c r="B17" s="2" t="s">
        <v>9</v>
      </c>
      <c r="D17" s="8">
        <v>0.15</v>
      </c>
      <c r="J17"/>
      <c r="K17"/>
      <c r="L17"/>
      <c r="M17"/>
      <c r="N17"/>
      <c r="O17"/>
      <c r="P17"/>
      <c r="Q17"/>
      <c r="R17"/>
      <c r="S17"/>
    </row>
    <row r="18" spans="2:19" x14ac:dyDescent="0.25">
      <c r="B18" s="2" t="s">
        <v>54</v>
      </c>
      <c r="D18" s="25" t="s">
        <v>38</v>
      </c>
      <c r="F18" s="18" t="s">
        <v>0</v>
      </c>
      <c r="I18" s="13"/>
      <c r="J18" s="23">
        <v>900000</v>
      </c>
      <c r="K18" s="23">
        <f>J18*1.015</f>
        <v>913499.99999999988</v>
      </c>
      <c r="L18" s="23">
        <f t="shared" ref="L18:S18" si="10">K18*1.015</f>
        <v>927202.49999999977</v>
      </c>
      <c r="M18" s="23">
        <f t="shared" si="10"/>
        <v>941110.53749999963</v>
      </c>
      <c r="N18" s="23">
        <f t="shared" si="10"/>
        <v>955227.19556249958</v>
      </c>
      <c r="O18" s="23">
        <f t="shared" si="10"/>
        <v>969555.60349593696</v>
      </c>
      <c r="P18" s="23">
        <f t="shared" si="10"/>
        <v>984098.93754837592</v>
      </c>
      <c r="Q18" s="23">
        <f t="shared" si="10"/>
        <v>998860.42161160149</v>
      </c>
      <c r="R18" s="23">
        <f t="shared" si="10"/>
        <v>1013843.3279357754</v>
      </c>
      <c r="S18" s="23">
        <f t="shared" si="10"/>
        <v>1029050.9778548119</v>
      </c>
    </row>
    <row r="19" spans="2:19" x14ac:dyDescent="0.25">
      <c r="F19" s="4" t="s">
        <v>1</v>
      </c>
      <c r="I19" s="13"/>
      <c r="J19" s="24">
        <v>45000</v>
      </c>
      <c r="K19" s="24">
        <f>J19*1.03</f>
        <v>46350</v>
      </c>
      <c r="L19" s="24">
        <f t="shared" ref="L19:S19" si="11">K19*1.03</f>
        <v>47740.5</v>
      </c>
      <c r="M19" s="24">
        <f t="shared" si="11"/>
        <v>49172.715000000004</v>
      </c>
      <c r="N19" s="24">
        <f t="shared" si="11"/>
        <v>50647.896450000007</v>
      </c>
      <c r="O19" s="24">
        <f t="shared" si="11"/>
        <v>52167.33334350001</v>
      </c>
      <c r="P19" s="24">
        <f t="shared" si="11"/>
        <v>53732.353343805014</v>
      </c>
      <c r="Q19" s="24">
        <f t="shared" si="11"/>
        <v>55344.323944119169</v>
      </c>
      <c r="R19" s="24">
        <f t="shared" si="11"/>
        <v>57004.653662442746</v>
      </c>
      <c r="S19" s="24">
        <f t="shared" si="11"/>
        <v>58714.793272316027</v>
      </c>
    </row>
    <row r="20" spans="2:19" x14ac:dyDescent="0.25">
      <c r="B20" s="2" t="s">
        <v>10</v>
      </c>
      <c r="D20" s="9" t="s">
        <v>13</v>
      </c>
      <c r="F20" s="18" t="s">
        <v>2</v>
      </c>
      <c r="I20" s="14"/>
      <c r="J20" s="20">
        <f>J18-J19</f>
        <v>855000</v>
      </c>
      <c r="K20" s="20">
        <f t="shared" ref="K20:S20" si="12">K18-K19</f>
        <v>867149.99999999988</v>
      </c>
      <c r="L20" s="20">
        <f t="shared" si="12"/>
        <v>879461.99999999977</v>
      </c>
      <c r="M20" s="20">
        <f t="shared" si="12"/>
        <v>891937.82249999966</v>
      </c>
      <c r="N20" s="20">
        <f t="shared" si="12"/>
        <v>904579.29911249958</v>
      </c>
      <c r="O20" s="20">
        <f t="shared" si="12"/>
        <v>917388.27015243692</v>
      </c>
      <c r="P20" s="20">
        <f t="shared" si="12"/>
        <v>930366.58420457086</v>
      </c>
      <c r="Q20" s="20">
        <f t="shared" si="12"/>
        <v>943516.09766748233</v>
      </c>
      <c r="R20" s="20">
        <f t="shared" si="12"/>
        <v>956838.6742733327</v>
      </c>
      <c r="S20" s="20">
        <f t="shared" si="12"/>
        <v>970336.18458249595</v>
      </c>
    </row>
    <row r="21" spans="2:19" x14ac:dyDescent="0.25">
      <c r="B21" s="2" t="s">
        <v>11</v>
      </c>
      <c r="D21" s="10">
        <f>IF(D20="Residential",27.5,39)</f>
        <v>27.5</v>
      </c>
      <c r="F21" s="4" t="s">
        <v>29</v>
      </c>
      <c r="J21" s="20">
        <f>J19</f>
        <v>45000</v>
      </c>
      <c r="K21" s="20">
        <f t="shared" ref="K21:S21" si="13">K19</f>
        <v>46350</v>
      </c>
      <c r="L21" s="20">
        <f t="shared" si="13"/>
        <v>47740.5</v>
      </c>
      <c r="M21" s="20">
        <f t="shared" si="13"/>
        <v>49172.715000000004</v>
      </c>
      <c r="N21" s="20">
        <f t="shared" si="13"/>
        <v>50647.896450000007</v>
      </c>
      <c r="O21" s="20">
        <f t="shared" si="13"/>
        <v>52167.33334350001</v>
      </c>
      <c r="P21" s="20">
        <f t="shared" si="13"/>
        <v>53732.353343805014</v>
      </c>
      <c r="Q21" s="20">
        <f t="shared" si="13"/>
        <v>55344.323944119169</v>
      </c>
      <c r="R21" s="20">
        <f t="shared" si="13"/>
        <v>57004.653662442746</v>
      </c>
      <c r="S21" s="20">
        <f t="shared" si="13"/>
        <v>58714.793272316027</v>
      </c>
    </row>
    <row r="22" spans="2:19" x14ac:dyDescent="0.25">
      <c r="B22" s="12" t="s">
        <v>12</v>
      </c>
      <c r="D22" s="11">
        <v>7</v>
      </c>
      <c r="F22" s="4" t="s">
        <v>30</v>
      </c>
      <c r="I22" s="16"/>
      <c r="J22" s="20">
        <f t="shared" ref="J22:S22" si="14">$D$13/$D$21</f>
        <v>409090.90909090912</v>
      </c>
      <c r="K22" s="20">
        <f t="shared" si="14"/>
        <v>409090.90909090912</v>
      </c>
      <c r="L22" s="20">
        <f t="shared" si="14"/>
        <v>409090.90909090912</v>
      </c>
      <c r="M22" s="20">
        <f t="shared" si="14"/>
        <v>409090.90909090912</v>
      </c>
      <c r="N22" s="20">
        <f t="shared" si="14"/>
        <v>409090.90909090912</v>
      </c>
      <c r="O22" s="20">
        <f t="shared" si="14"/>
        <v>409090.90909090912</v>
      </c>
      <c r="P22" s="20">
        <f t="shared" si="14"/>
        <v>409090.90909090912</v>
      </c>
      <c r="Q22" s="20">
        <f t="shared" si="14"/>
        <v>409090.90909090912</v>
      </c>
      <c r="R22" s="20">
        <f t="shared" si="14"/>
        <v>409090.90909090912</v>
      </c>
      <c r="S22" s="20">
        <f t="shared" si="14"/>
        <v>409090.90909090912</v>
      </c>
    </row>
    <row r="23" spans="2:19" x14ac:dyDescent="0.25">
      <c r="F23" s="4" t="s">
        <v>33</v>
      </c>
      <c r="I23" s="17"/>
      <c r="J23" s="21">
        <f ca="1">IF(J4&lt;=$D$22,SUM($J$19:J19)/$D$22,SUM(OFFSET(J19,0,0,1,-$D$22))/$D$22)</f>
        <v>6428.5714285714284</v>
      </c>
      <c r="K23" s="21">
        <f ca="1">IF(K4&lt;=$D$22,SUM($J$19:K19)/$D$22,SUM(OFFSET(K19,0,0,1,-$D$22))/$D$22)</f>
        <v>13050</v>
      </c>
      <c r="L23" s="21">
        <f ca="1">IF(L4&lt;=$D$22,SUM($J$19:L19)/$D$22,SUM(OFFSET(L19,0,0,1,-$D$22))/$D$22)</f>
        <v>19870.071428571428</v>
      </c>
      <c r="M23" s="21">
        <f ca="1">IF(M4&lt;=$D$22,SUM($J$19:M19)/$D$22,SUM(OFFSET(M19,0,0,1,-$D$22))/$D$22)</f>
        <v>26894.744999999999</v>
      </c>
      <c r="N23" s="21">
        <f ca="1">IF(N4&lt;=$D$22,SUM($J$19:N19)/$D$22,SUM(OFFSET(N19,0,0,1,-$D$22))/$D$22)</f>
        <v>34130.158778571429</v>
      </c>
      <c r="O23" s="21">
        <f ca="1">IF(O4&lt;=$D$22,SUM($J$19:O19)/$D$22,SUM(OFFSET(O19,0,0,1,-$D$22))/$D$22)</f>
        <v>41582.634970500003</v>
      </c>
      <c r="P23" s="21">
        <f ca="1">IF(P4&lt;=$D$22,SUM($J$19:P19)/$D$22,SUM(OFFSET(P19,0,0,1,-$D$22))/$D$22)</f>
        <v>49258.685448186428</v>
      </c>
      <c r="Q23" s="21">
        <f ca="1">IF(Q4&lt;=$D$22,SUM($J$19:Q19)/$D$22,SUM(OFFSET(Q19,0,0,1,-$D$22))/$D$22)</f>
        <v>50736.446011632026</v>
      </c>
      <c r="R23" s="21">
        <f ca="1">IF(R4&lt;=$D$22,SUM($J$19:R19)/$D$22,SUM(OFFSET(R19,0,0,1,-$D$22))/$D$22)</f>
        <v>52258.539391980987</v>
      </c>
      <c r="S23" s="21">
        <f ca="1">IF(S4&lt;=$D$22,SUM($J$19:S19)/$D$22,SUM(OFFSET(S19,0,0,1,-$D$22))/$D$22)</f>
        <v>53826.295573740426</v>
      </c>
    </row>
    <row r="24" spans="2:19" x14ac:dyDescent="0.25">
      <c r="B24" s="2" t="s">
        <v>15</v>
      </c>
      <c r="D24" s="11">
        <v>10</v>
      </c>
      <c r="F24" s="3" t="s">
        <v>34</v>
      </c>
      <c r="I24" s="17"/>
      <c r="J24" s="20">
        <f ca="1">J20+J21-J22-J23</f>
        <v>484480.51948051946</v>
      </c>
      <c r="K24" s="20">
        <f t="shared" ref="K24:S24" ca="1" si="15">K20+K21-K22-K23</f>
        <v>491359.09090909077</v>
      </c>
      <c r="L24" s="20">
        <f t="shared" ca="1" si="15"/>
        <v>498241.51948051923</v>
      </c>
      <c r="M24" s="20">
        <f t="shared" ca="1" si="15"/>
        <v>505124.88340909046</v>
      </c>
      <c r="N24" s="20">
        <f t="shared" ca="1" si="15"/>
        <v>512006.12769301899</v>
      </c>
      <c r="O24" s="20">
        <f t="shared" ca="1" si="15"/>
        <v>518882.05943452788</v>
      </c>
      <c r="P24" s="20">
        <f t="shared" ca="1" si="15"/>
        <v>525749.34300928027</v>
      </c>
      <c r="Q24" s="20">
        <f t="shared" ca="1" si="15"/>
        <v>539033.06650906033</v>
      </c>
      <c r="R24" s="20">
        <f t="shared" ca="1" si="15"/>
        <v>552493.87945288536</v>
      </c>
      <c r="S24" s="20">
        <f t="shared" ca="1" si="15"/>
        <v>566133.77319016249</v>
      </c>
    </row>
    <row r="25" spans="2:19" x14ac:dyDescent="0.25">
      <c r="B25" s="2" t="s">
        <v>48</v>
      </c>
      <c r="D25" s="5">
        <v>20150000</v>
      </c>
      <c r="F25" s="1" t="str">
        <f>"Income Tax Payable @ "&amp;TEXT($D$15,"0%")</f>
        <v>Income Tax Payable @ 35%</v>
      </c>
      <c r="G25" s="1"/>
      <c r="H25" s="1"/>
      <c r="I25" s="43"/>
      <c r="J25" s="22">
        <f ca="1">MAX(J24*$D$15,0)</f>
        <v>169568.18181818179</v>
      </c>
      <c r="K25" s="22">
        <f t="shared" ref="K25:S25" ca="1" si="16">MAX(K24*$D$15,0)</f>
        <v>171975.68181818177</v>
      </c>
      <c r="L25" s="22">
        <f t="shared" ca="1" si="16"/>
        <v>174384.53181818171</v>
      </c>
      <c r="M25" s="22">
        <f t="shared" ca="1" si="16"/>
        <v>176793.70919318165</v>
      </c>
      <c r="N25" s="22">
        <f t="shared" ca="1" si="16"/>
        <v>179202.14469255664</v>
      </c>
      <c r="O25" s="22">
        <f t="shared" ca="1" si="16"/>
        <v>181608.72080208475</v>
      </c>
      <c r="P25" s="22">
        <f t="shared" ca="1" si="16"/>
        <v>184012.2700532481</v>
      </c>
      <c r="Q25" s="22">
        <f t="shared" ca="1" si="16"/>
        <v>188661.5732781711</v>
      </c>
      <c r="R25" s="22">
        <f t="shared" ca="1" si="16"/>
        <v>193372.85780850987</v>
      </c>
      <c r="S25" s="22">
        <f t="shared" ca="1" si="16"/>
        <v>198146.82061655686</v>
      </c>
    </row>
    <row r="26" spans="2:19" x14ac:dyDescent="0.25">
      <c r="F26" s="1"/>
      <c r="I26" s="17"/>
    </row>
    <row r="27" spans="2:19" x14ac:dyDescent="0.25">
      <c r="B27" s="1"/>
      <c r="F27" s="18" t="s">
        <v>42</v>
      </c>
      <c r="I27" s="14">
        <f>-D11</f>
        <v>-15000000</v>
      </c>
      <c r="J27" s="20">
        <f>J10+J20</f>
        <v>855000</v>
      </c>
      <c r="K27" s="20">
        <f t="shared" ref="K27:S27" si="17">K10+K20</f>
        <v>867149.99999999988</v>
      </c>
      <c r="L27" s="20">
        <f t="shared" si="17"/>
        <v>879461.99999999977</v>
      </c>
      <c r="M27" s="20">
        <f t="shared" si="17"/>
        <v>891937.82249999966</v>
      </c>
      <c r="N27" s="20">
        <f t="shared" si="17"/>
        <v>904579.29911249958</v>
      </c>
      <c r="O27" s="20">
        <f t="shared" si="17"/>
        <v>917388.27015243692</v>
      </c>
      <c r="P27" s="20">
        <f t="shared" si="17"/>
        <v>930366.58420457086</v>
      </c>
      <c r="Q27" s="20">
        <f t="shared" si="17"/>
        <v>943516.09766748233</v>
      </c>
      <c r="R27" s="20">
        <f t="shared" si="17"/>
        <v>956838.6742733327</v>
      </c>
      <c r="S27" s="20">
        <f t="shared" si="17"/>
        <v>21120336.184582494</v>
      </c>
    </row>
    <row r="28" spans="2:19" x14ac:dyDescent="0.25">
      <c r="D28" s="5"/>
      <c r="F28" s="1" t="s">
        <v>41</v>
      </c>
      <c r="G28" s="1"/>
      <c r="H28" s="1"/>
      <c r="I28" s="19">
        <f>-D11</f>
        <v>-15000000</v>
      </c>
      <c r="J28" s="22">
        <f ca="1">J27-J13-J16-J25</f>
        <v>685431.81818181823</v>
      </c>
      <c r="K28" s="22">
        <f t="shared" ref="K28:S28" ca="1" si="18">K27-K13-K16-K25</f>
        <v>695174.31818181812</v>
      </c>
      <c r="L28" s="22">
        <f t="shared" ca="1" si="18"/>
        <v>705077.46818181803</v>
      </c>
      <c r="M28" s="22">
        <f t="shared" ca="1" si="18"/>
        <v>715144.11330681806</v>
      </c>
      <c r="N28" s="22">
        <f t="shared" ca="1" si="18"/>
        <v>725377.15441994299</v>
      </c>
      <c r="O28" s="22">
        <f t="shared" ca="1" si="18"/>
        <v>735779.54935035214</v>
      </c>
      <c r="P28" s="22">
        <f t="shared" ca="1" si="18"/>
        <v>746354.3141513227</v>
      </c>
      <c r="Q28" s="22">
        <f t="shared" ca="1" si="18"/>
        <v>754854.52438931121</v>
      </c>
      <c r="R28" s="22">
        <f t="shared" ca="1" si="18"/>
        <v>763465.81646482286</v>
      </c>
      <c r="S28" s="22">
        <f t="shared" ca="1" si="18"/>
        <v>18451492.453742024</v>
      </c>
    </row>
    <row r="29" spans="2:19" x14ac:dyDescent="0.25">
      <c r="D29" s="6"/>
      <c r="F29" s="18"/>
      <c r="I29" s="16"/>
    </row>
    <row r="30" spans="2:19" x14ac:dyDescent="0.25">
      <c r="D30" s="15"/>
      <c r="F30" s="18"/>
      <c r="I30" s="17"/>
    </row>
    <row r="31" spans="2:19" x14ac:dyDescent="0.25">
      <c r="D31" s="11"/>
      <c r="F31" s="3"/>
      <c r="I31" s="17"/>
    </row>
    <row r="32" spans="2:19" x14ac:dyDescent="0.25">
      <c r="D32" s="6"/>
      <c r="I32" s="14"/>
    </row>
    <row r="33" spans="4:9" x14ac:dyDescent="0.25">
      <c r="D33" s="6"/>
      <c r="F33" s="1"/>
      <c r="I33" s="14"/>
    </row>
    <row r="34" spans="4:9" x14ac:dyDescent="0.25">
      <c r="F34" s="3"/>
      <c r="I34" s="14"/>
    </row>
    <row r="35" spans="4:9" x14ac:dyDescent="0.25">
      <c r="F35" s="4"/>
      <c r="I35" s="14"/>
    </row>
    <row r="36" spans="4:9" x14ac:dyDescent="0.25">
      <c r="F36" s="4"/>
      <c r="I36" s="14"/>
    </row>
    <row r="37" spans="4:9" x14ac:dyDescent="0.25">
      <c r="F37" s="3"/>
      <c r="I37" s="14"/>
    </row>
    <row r="38" spans="4:9" x14ac:dyDescent="0.25">
      <c r="I38" s="14"/>
    </row>
    <row r="40" spans="4:9" x14ac:dyDescent="0.25">
      <c r="I40" s="14"/>
    </row>
    <row r="45" spans="4:9" x14ac:dyDescent="0.25">
      <c r="I45" s="14"/>
    </row>
    <row r="46" spans="4:9" x14ac:dyDescent="0.25">
      <c r="I46" s="14"/>
    </row>
    <row r="47" spans="4:9" x14ac:dyDescent="0.25">
      <c r="I47" s="14"/>
    </row>
    <row r="48" spans="4:9" x14ac:dyDescent="0.25">
      <c r="I48" s="14"/>
    </row>
    <row r="49" spans="9:9" x14ac:dyDescent="0.25">
      <c r="I49" s="14"/>
    </row>
    <row r="50" spans="9:9" x14ac:dyDescent="0.25">
      <c r="I50" s="14"/>
    </row>
    <row r="51" spans="9:9" x14ac:dyDescent="0.25">
      <c r="I51" s="14"/>
    </row>
    <row r="52" spans="9:9" x14ac:dyDescent="0.25">
      <c r="I52" s="14"/>
    </row>
    <row r="53" spans="9:9" x14ac:dyDescent="0.25">
      <c r="I53" s="14"/>
    </row>
    <row r="54" spans="9:9" x14ac:dyDescent="0.25">
      <c r="I54" s="14"/>
    </row>
    <row r="55" spans="9:9" x14ac:dyDescent="0.25">
      <c r="I55" s="14"/>
    </row>
    <row r="56" spans="9:9" x14ac:dyDescent="0.25">
      <c r="I56" s="14"/>
    </row>
    <row r="57" spans="9:9" x14ac:dyDescent="0.25">
      <c r="I57" s="14"/>
    </row>
    <row r="58" spans="9:9" x14ac:dyDescent="0.25">
      <c r="I58" s="14"/>
    </row>
    <row r="59" spans="9:9" x14ac:dyDescent="0.25">
      <c r="I59" s="14"/>
    </row>
    <row r="60" spans="9:9" x14ac:dyDescent="0.25">
      <c r="I60" s="14"/>
    </row>
    <row r="61" spans="9:9" x14ac:dyDescent="0.25">
      <c r="I61" s="14"/>
    </row>
    <row r="62" spans="9:9" x14ac:dyDescent="0.25">
      <c r="I62" s="14"/>
    </row>
    <row r="63" spans="9:9" x14ac:dyDescent="0.25">
      <c r="I63" s="14"/>
    </row>
    <row r="64" spans="9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</sheetData>
  <dataValidations count="2">
    <dataValidation type="list" allowBlank="1" showInputMessage="1" showErrorMessage="1" sqref="D20">
      <formula1>"Residential, Non-Residential"</formula1>
    </dataValidation>
    <dataValidation type="list" allowBlank="1" showInputMessage="1" showErrorMessage="1" sqref="D18">
      <formula1>"Yes,No"</formula1>
    </dataValidation>
  </dataValidations>
  <hyperlinks>
    <hyperlink ref="B22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showGridLines="0" tabSelected="1" zoomScale="85" zoomScaleNormal="85" workbookViewId="0">
      <selection activeCell="J26" sqref="J26"/>
    </sheetView>
  </sheetViews>
  <sheetFormatPr defaultColWidth="0" defaultRowHeight="15" x14ac:dyDescent="0.25"/>
  <cols>
    <col min="1" max="1" width="1.7109375" customWidth="1"/>
    <col min="2" max="2" width="11.7109375" style="2" customWidth="1"/>
    <col min="3" max="3" width="13.5703125" customWidth="1"/>
    <col min="4" max="4" width="12" bestFit="1" customWidth="1"/>
    <col min="5" max="8" width="8.85546875" customWidth="1"/>
    <col min="9" max="9" width="13.7109375" bestFit="1" customWidth="1"/>
    <col min="10" max="19" width="10.7109375" style="20" customWidth="1"/>
    <col min="20" max="25" width="8.85546875" customWidth="1"/>
    <col min="26" max="16384" width="8.85546875" hidden="1"/>
  </cols>
  <sheetData>
    <row r="1" spans="2:25" ht="10.15" customHeight="1" x14ac:dyDescent="0.25">
      <c r="B1"/>
      <c r="J1"/>
      <c r="K1"/>
      <c r="L1"/>
      <c r="M1"/>
      <c r="N1"/>
      <c r="O1"/>
      <c r="P1"/>
      <c r="Q1"/>
      <c r="R1"/>
      <c r="S1"/>
    </row>
    <row r="2" spans="2:25" x14ac:dyDescent="0.25">
      <c r="B2" s="26" t="s">
        <v>45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2:25" x14ac:dyDescent="0.25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U3" s="30"/>
      <c r="V3" s="30"/>
      <c r="W3" s="30"/>
      <c r="X3" s="30"/>
      <c r="Y3" s="30"/>
    </row>
    <row r="4" spans="2:25" x14ac:dyDescent="0.25">
      <c r="B4" s="1" t="s">
        <v>39</v>
      </c>
      <c r="F4" s="31" t="s">
        <v>25</v>
      </c>
      <c r="G4" s="32"/>
      <c r="H4" s="32"/>
      <c r="I4" s="33">
        <v>0</v>
      </c>
      <c r="J4" s="33">
        <f>I4+1</f>
        <v>1</v>
      </c>
      <c r="K4" s="33">
        <f t="shared" ref="K4:S4" si="0">J4+1</f>
        <v>2</v>
      </c>
      <c r="L4" s="33">
        <f t="shared" si="0"/>
        <v>3</v>
      </c>
      <c r="M4" s="33">
        <f t="shared" si="0"/>
        <v>4</v>
      </c>
      <c r="N4" s="33">
        <f t="shared" si="0"/>
        <v>5</v>
      </c>
      <c r="O4" s="33">
        <f t="shared" si="0"/>
        <v>6</v>
      </c>
      <c r="P4" s="33">
        <f t="shared" si="0"/>
        <v>7</v>
      </c>
      <c r="Q4" s="33">
        <f t="shared" si="0"/>
        <v>8</v>
      </c>
      <c r="R4" s="33">
        <f t="shared" si="0"/>
        <v>9</v>
      </c>
      <c r="S4" s="33">
        <f t="shared" si="0"/>
        <v>10</v>
      </c>
    </row>
    <row r="5" spans="2:25" x14ac:dyDescent="0.25">
      <c r="B5" s="18" t="s">
        <v>50</v>
      </c>
      <c r="D5" s="16">
        <f>IRR(I34:S34)</f>
        <v>0.15264896245634918</v>
      </c>
      <c r="F5" s="3" t="s">
        <v>23</v>
      </c>
      <c r="I5" s="20">
        <f>$D$11</f>
        <v>15000000</v>
      </c>
      <c r="J5" s="20">
        <f t="shared" ref="J5:S5" si="1">I5+J19</f>
        <v>15045000</v>
      </c>
      <c r="K5" s="20">
        <f t="shared" si="1"/>
        <v>15091350</v>
      </c>
      <c r="L5" s="20">
        <f t="shared" si="1"/>
        <v>15139090.5</v>
      </c>
      <c r="M5" s="20">
        <f t="shared" si="1"/>
        <v>15188263.215</v>
      </c>
      <c r="N5" s="20">
        <f t="shared" si="1"/>
        <v>15238911.11145</v>
      </c>
      <c r="O5" s="20">
        <f t="shared" si="1"/>
        <v>15291078.4447935</v>
      </c>
      <c r="P5" s="20">
        <f t="shared" si="1"/>
        <v>15344810.798137305</v>
      </c>
      <c r="Q5" s="20">
        <f t="shared" si="1"/>
        <v>15400155.122081425</v>
      </c>
      <c r="R5" s="20">
        <f t="shared" si="1"/>
        <v>15457159.775743868</v>
      </c>
      <c r="S5" s="20">
        <f t="shared" si="1"/>
        <v>15515874.569016185</v>
      </c>
    </row>
    <row r="6" spans="2:25" x14ac:dyDescent="0.25">
      <c r="B6" s="18" t="s">
        <v>51</v>
      </c>
      <c r="D6" s="17">
        <f>SUMIF(I34:S34,"&gt;0")/-SUMIF(I34:S34,"&lt;0")</f>
        <v>3.5776698219345748</v>
      </c>
      <c r="F6" s="4" t="s">
        <v>31</v>
      </c>
      <c r="I6" s="20"/>
      <c r="J6" s="20">
        <f>$D$13/$D$21+I6</f>
        <v>409090.90909090912</v>
      </c>
      <c r="K6" s="20">
        <f t="shared" ref="K6:S6" si="2">$D$13/$D$21+J6</f>
        <v>818181.81818181823</v>
      </c>
      <c r="L6" s="20">
        <f t="shared" si="2"/>
        <v>1227272.7272727273</v>
      </c>
      <c r="M6" s="20">
        <f t="shared" si="2"/>
        <v>1636363.6363636365</v>
      </c>
      <c r="N6" s="20">
        <f t="shared" si="2"/>
        <v>2045454.5454545456</v>
      </c>
      <c r="O6" s="20">
        <f t="shared" si="2"/>
        <v>2454545.4545454546</v>
      </c>
      <c r="P6" s="20">
        <f t="shared" si="2"/>
        <v>2863636.3636363638</v>
      </c>
      <c r="Q6" s="20">
        <f t="shared" si="2"/>
        <v>3272727.2727272729</v>
      </c>
      <c r="R6" s="20">
        <f t="shared" si="2"/>
        <v>3681818.1818181821</v>
      </c>
      <c r="S6" s="20">
        <f t="shared" si="2"/>
        <v>4090909.0909090913</v>
      </c>
    </row>
    <row r="7" spans="2:25" x14ac:dyDescent="0.25">
      <c r="B7" s="18" t="s">
        <v>52</v>
      </c>
      <c r="D7" s="16">
        <f ca="1">IRR(I35:S35)</f>
        <v>0.1256590606633079</v>
      </c>
      <c r="F7" s="4" t="s">
        <v>32</v>
      </c>
      <c r="I7" s="20"/>
      <c r="J7" s="21">
        <f ca="1">SUM($J$26:J26)</f>
        <v>6428.5714285714284</v>
      </c>
      <c r="K7" s="21">
        <f ca="1">SUM($J$26:K26)</f>
        <v>19478.571428571428</v>
      </c>
      <c r="L7" s="21">
        <f ca="1">SUM($J$26:L26)</f>
        <v>39348.642857142855</v>
      </c>
      <c r="M7" s="21">
        <f ca="1">SUM($J$26:M26)</f>
        <v>66243.38785714285</v>
      </c>
      <c r="N7" s="21">
        <f ca="1">SUM($J$26:N26)</f>
        <v>100373.54663571427</v>
      </c>
      <c r="O7" s="21">
        <f ca="1">SUM($J$26:O26)</f>
        <v>141956.18160621426</v>
      </c>
      <c r="P7" s="21">
        <f ca="1">SUM($J$26:P26)</f>
        <v>191214.86705440067</v>
      </c>
      <c r="Q7" s="21">
        <f ca="1">SUM($J$26:Q26)</f>
        <v>241951.31306603272</v>
      </c>
      <c r="R7" s="21">
        <f ca="1">SUM($J$26:R26)</f>
        <v>294209.85245801369</v>
      </c>
      <c r="S7" s="21">
        <f ca="1">SUM($J$26:S26)</f>
        <v>348036.14803175413</v>
      </c>
    </row>
    <row r="8" spans="2:25" x14ac:dyDescent="0.25">
      <c r="B8" s="18" t="s">
        <v>53</v>
      </c>
      <c r="D8" s="17">
        <f ca="1">SUMIF(I35:S35,"&gt;0")/-SUMIF(I35:S35,"&lt;0")</f>
        <v>2.857787789563107</v>
      </c>
      <c r="F8" t="s">
        <v>24</v>
      </c>
      <c r="I8" s="20"/>
      <c r="J8" s="20">
        <f ca="1">J5-J6-J7</f>
        <v>14629480.519480521</v>
      </c>
      <c r="K8" s="20">
        <f t="shared" ref="K8:S8" ca="1" si="3">K5-K6-K7</f>
        <v>14253689.610389611</v>
      </c>
      <c r="L8" s="20">
        <f t="shared" ca="1" si="3"/>
        <v>13872469.12987013</v>
      </c>
      <c r="M8" s="20">
        <f t="shared" ca="1" si="3"/>
        <v>13485656.19077922</v>
      </c>
      <c r="N8" s="20">
        <f t="shared" ca="1" si="3"/>
        <v>13093083.019359741</v>
      </c>
      <c r="O8" s="20">
        <f t="shared" ca="1" si="3"/>
        <v>12694576.80864183</v>
      </c>
      <c r="P8" s="20">
        <f t="shared" ca="1" si="3"/>
        <v>12289959.567446541</v>
      </c>
      <c r="Q8" s="20">
        <f t="shared" ca="1" si="3"/>
        <v>11885476.53628812</v>
      </c>
      <c r="R8" s="20">
        <f t="shared" ca="1" si="3"/>
        <v>11481131.741467673</v>
      </c>
      <c r="S8" s="20">
        <f t="shared" ca="1" si="3"/>
        <v>11076929.330075338</v>
      </c>
    </row>
    <row r="9" spans="2:25" x14ac:dyDescent="0.25">
      <c r="B9" s="1"/>
      <c r="I9" s="20"/>
    </row>
    <row r="10" spans="2:25" x14ac:dyDescent="0.25">
      <c r="B10" s="1" t="s">
        <v>17</v>
      </c>
      <c r="F10" s="3" t="s">
        <v>48</v>
      </c>
      <c r="I10" s="20"/>
      <c r="J10" s="20">
        <f t="shared" ref="J10:S10" si="4">IF(J4=$D$24,$D$25,0)</f>
        <v>0</v>
      </c>
      <c r="K10" s="20">
        <f t="shared" si="4"/>
        <v>0</v>
      </c>
      <c r="L10" s="20">
        <f t="shared" si="4"/>
        <v>0</v>
      </c>
      <c r="M10" s="20">
        <f t="shared" si="4"/>
        <v>0</v>
      </c>
      <c r="N10" s="20">
        <f t="shared" si="4"/>
        <v>0</v>
      </c>
      <c r="O10" s="20">
        <f t="shared" si="4"/>
        <v>0</v>
      </c>
      <c r="P10" s="20">
        <f t="shared" si="4"/>
        <v>0</v>
      </c>
      <c r="Q10" s="20">
        <f t="shared" si="4"/>
        <v>0</v>
      </c>
      <c r="R10" s="20">
        <f t="shared" si="4"/>
        <v>0</v>
      </c>
      <c r="S10" s="20">
        <f t="shared" si="4"/>
        <v>20150000</v>
      </c>
    </row>
    <row r="11" spans="2:25" x14ac:dyDescent="0.25">
      <c r="B11" t="s">
        <v>14</v>
      </c>
      <c r="D11" s="35">
        <f>'After Tax Analysis Unlevered'!D11</f>
        <v>15000000</v>
      </c>
      <c r="F11" s="4" t="s">
        <v>26</v>
      </c>
      <c r="I11" s="20"/>
      <c r="J11" s="21">
        <f t="shared" ref="J11:S11" si="5">IF(J4=$D$24,J8,0)</f>
        <v>0</v>
      </c>
      <c r="K11" s="21">
        <f t="shared" si="5"/>
        <v>0</v>
      </c>
      <c r="L11" s="21">
        <f t="shared" si="5"/>
        <v>0</v>
      </c>
      <c r="M11" s="21">
        <f t="shared" si="5"/>
        <v>0</v>
      </c>
      <c r="N11" s="21">
        <f t="shared" si="5"/>
        <v>0</v>
      </c>
      <c r="O11" s="21">
        <f t="shared" si="5"/>
        <v>0</v>
      </c>
      <c r="P11" s="21">
        <f t="shared" si="5"/>
        <v>0</v>
      </c>
      <c r="Q11" s="21">
        <f t="shared" si="5"/>
        <v>0</v>
      </c>
      <c r="R11" s="21">
        <f t="shared" si="5"/>
        <v>0</v>
      </c>
      <c r="S11" s="21">
        <f t="shared" ca="1" si="5"/>
        <v>11076929.330075338</v>
      </c>
    </row>
    <row r="12" spans="2:25" x14ac:dyDescent="0.25">
      <c r="B12" s="2" t="s">
        <v>5</v>
      </c>
      <c r="D12" s="34">
        <f>'After Tax Analysis Unlevered'!D12</f>
        <v>3750000</v>
      </c>
      <c r="F12" s="18" t="s">
        <v>27</v>
      </c>
      <c r="I12" s="20"/>
      <c r="J12" s="20">
        <f>J10-J11</f>
        <v>0</v>
      </c>
      <c r="K12" s="20">
        <f t="shared" ref="K12:S12" si="6">K10-K11</f>
        <v>0</v>
      </c>
      <c r="L12" s="20">
        <f t="shared" si="6"/>
        <v>0</v>
      </c>
      <c r="M12" s="20">
        <f t="shared" si="6"/>
        <v>0</v>
      </c>
      <c r="N12" s="20">
        <f t="shared" si="6"/>
        <v>0</v>
      </c>
      <c r="O12" s="20">
        <f t="shared" si="6"/>
        <v>0</v>
      </c>
      <c r="P12" s="20">
        <f t="shared" si="6"/>
        <v>0</v>
      </c>
      <c r="Q12" s="20">
        <f t="shared" si="6"/>
        <v>0</v>
      </c>
      <c r="R12" s="20">
        <f t="shared" si="6"/>
        <v>0</v>
      </c>
      <c r="S12" s="20">
        <f t="shared" ca="1" si="6"/>
        <v>9073070.6699246615</v>
      </c>
    </row>
    <row r="13" spans="2:25" x14ac:dyDescent="0.25">
      <c r="B13" s="2" t="s">
        <v>6</v>
      </c>
      <c r="D13" s="35">
        <f>'After Tax Analysis Unlevered'!D13</f>
        <v>11250000</v>
      </c>
      <c r="F13" s="1" t="str">
        <f>IF(D18="Yes","Capital Gains Tax Deferred","Capital Gains Tax Payable @ "&amp;TEXT($D$17,"0%"))</f>
        <v>Capital Gains Tax Payable @ 15%</v>
      </c>
      <c r="G13" s="1"/>
      <c r="H13" s="1"/>
      <c r="I13" s="22"/>
      <c r="J13" s="22">
        <f t="shared" ref="J13:S13" si="7">IF($D$18="Yes",0,J12*$D$17)</f>
        <v>0</v>
      </c>
      <c r="K13" s="22">
        <f t="shared" si="7"/>
        <v>0</v>
      </c>
      <c r="L13" s="22">
        <f t="shared" si="7"/>
        <v>0</v>
      </c>
      <c r="M13" s="22">
        <f t="shared" si="7"/>
        <v>0</v>
      </c>
      <c r="N13" s="22">
        <f t="shared" si="7"/>
        <v>0</v>
      </c>
      <c r="O13" s="22">
        <f t="shared" si="7"/>
        <v>0</v>
      </c>
      <c r="P13" s="22">
        <f t="shared" si="7"/>
        <v>0</v>
      </c>
      <c r="Q13" s="22">
        <f t="shared" si="7"/>
        <v>0</v>
      </c>
      <c r="R13" s="22">
        <f t="shared" si="7"/>
        <v>0</v>
      </c>
      <c r="S13" s="22">
        <f t="shared" ca="1" si="7"/>
        <v>1360960.6004886993</v>
      </c>
    </row>
    <row r="14" spans="2:25" x14ac:dyDescent="0.25">
      <c r="D14" s="36"/>
      <c r="I14" s="20"/>
    </row>
    <row r="15" spans="2:25" x14ac:dyDescent="0.25">
      <c r="B15" s="2" t="s">
        <v>7</v>
      </c>
      <c r="D15" s="37">
        <f>'After Tax Analysis Unlevered'!D15</f>
        <v>0.35</v>
      </c>
      <c r="F15" t="s">
        <v>28</v>
      </c>
      <c r="I15" s="20"/>
      <c r="J15" s="20">
        <f t="shared" ref="J15:S15" si="8">IF(J4=$D$24,J6+J7,0)</f>
        <v>0</v>
      </c>
      <c r="K15" s="20">
        <f t="shared" si="8"/>
        <v>0</v>
      </c>
      <c r="L15" s="20">
        <f t="shared" si="8"/>
        <v>0</v>
      </c>
      <c r="M15" s="20">
        <f t="shared" si="8"/>
        <v>0</v>
      </c>
      <c r="N15" s="20">
        <f t="shared" si="8"/>
        <v>0</v>
      </c>
      <c r="O15" s="20">
        <f t="shared" si="8"/>
        <v>0</v>
      </c>
      <c r="P15" s="20">
        <f t="shared" si="8"/>
        <v>0</v>
      </c>
      <c r="Q15" s="20">
        <f t="shared" si="8"/>
        <v>0</v>
      </c>
      <c r="R15" s="20">
        <f t="shared" si="8"/>
        <v>0</v>
      </c>
      <c r="S15" s="20">
        <f t="shared" ca="1" si="8"/>
        <v>4438945.2389408452</v>
      </c>
    </row>
    <row r="16" spans="2:25" x14ac:dyDescent="0.25">
      <c r="B16" s="2" t="s">
        <v>8</v>
      </c>
      <c r="D16" s="37">
        <f>'After Tax Analysis Unlevered'!D16</f>
        <v>0.25</v>
      </c>
      <c r="F16" s="1" t="str">
        <f>IF(D18="Yes","Depreciation Recapture Deferred","Recapture Tax Payable @ "&amp;TEXT($D$16,"0%"))</f>
        <v>Recapture Tax Payable @ 25%</v>
      </c>
      <c r="G16" s="1"/>
      <c r="H16" s="1"/>
      <c r="I16" s="22"/>
      <c r="J16" s="22">
        <f t="shared" ref="J16:S16" si="9">IF($D$18="Yes",0,J15*$D$16)</f>
        <v>0</v>
      </c>
      <c r="K16" s="22">
        <f t="shared" si="9"/>
        <v>0</v>
      </c>
      <c r="L16" s="22">
        <f t="shared" si="9"/>
        <v>0</v>
      </c>
      <c r="M16" s="22">
        <f t="shared" si="9"/>
        <v>0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22">
        <f t="shared" si="9"/>
        <v>0</v>
      </c>
      <c r="S16" s="22">
        <f t="shared" ca="1" si="9"/>
        <v>1109736.3097352113</v>
      </c>
    </row>
    <row r="17" spans="2:19" x14ac:dyDescent="0.25">
      <c r="B17" s="2" t="s">
        <v>9</v>
      </c>
      <c r="D17" s="37">
        <f>'After Tax Analysis Unlevered'!D17</f>
        <v>0.15</v>
      </c>
      <c r="J17"/>
      <c r="K17"/>
      <c r="L17"/>
      <c r="M17"/>
      <c r="N17"/>
      <c r="O17"/>
      <c r="P17"/>
      <c r="Q17"/>
      <c r="R17"/>
      <c r="S17"/>
    </row>
    <row r="18" spans="2:19" x14ac:dyDescent="0.25">
      <c r="B18" s="2" t="s">
        <v>37</v>
      </c>
      <c r="D18" s="38" t="str">
        <f>'After Tax Analysis Unlevered'!D18</f>
        <v>No</v>
      </c>
      <c r="F18" s="18" t="s">
        <v>0</v>
      </c>
      <c r="I18" s="13"/>
      <c r="J18" s="42">
        <f>'After Tax Analysis Unlevered'!J18</f>
        <v>900000</v>
      </c>
      <c r="K18" s="42">
        <f>'After Tax Analysis Unlevered'!K18</f>
        <v>913499.99999999988</v>
      </c>
      <c r="L18" s="42">
        <f>'After Tax Analysis Unlevered'!L18</f>
        <v>927202.49999999977</v>
      </c>
      <c r="M18" s="42">
        <f>'After Tax Analysis Unlevered'!M18</f>
        <v>941110.53749999963</v>
      </c>
      <c r="N18" s="42">
        <f>'After Tax Analysis Unlevered'!N18</f>
        <v>955227.19556249958</v>
      </c>
      <c r="O18" s="42">
        <f>'After Tax Analysis Unlevered'!O18</f>
        <v>969555.60349593696</v>
      </c>
      <c r="P18" s="42">
        <f>'After Tax Analysis Unlevered'!P18</f>
        <v>984098.93754837592</v>
      </c>
      <c r="Q18" s="42">
        <f>'After Tax Analysis Unlevered'!Q18</f>
        <v>998860.42161160149</v>
      </c>
      <c r="R18" s="42">
        <f>'After Tax Analysis Unlevered'!R18</f>
        <v>1013843.3279357754</v>
      </c>
      <c r="S18" s="42">
        <f>'After Tax Analysis Unlevered'!S18</f>
        <v>1029050.9778548119</v>
      </c>
    </row>
    <row r="19" spans="2:19" x14ac:dyDescent="0.25">
      <c r="D19" s="36"/>
      <c r="F19" s="4" t="s">
        <v>1</v>
      </c>
      <c r="I19" s="13"/>
      <c r="J19" s="42">
        <f>'After Tax Analysis Unlevered'!J19</f>
        <v>45000</v>
      </c>
      <c r="K19" s="42">
        <f>'After Tax Analysis Unlevered'!K19</f>
        <v>46350</v>
      </c>
      <c r="L19" s="42">
        <f>'After Tax Analysis Unlevered'!L19</f>
        <v>47740.5</v>
      </c>
      <c r="M19" s="42">
        <f>'After Tax Analysis Unlevered'!M19</f>
        <v>49172.715000000004</v>
      </c>
      <c r="N19" s="42">
        <f>'After Tax Analysis Unlevered'!N19</f>
        <v>50647.896450000007</v>
      </c>
      <c r="O19" s="42">
        <f>'After Tax Analysis Unlevered'!O19</f>
        <v>52167.33334350001</v>
      </c>
      <c r="P19" s="42">
        <f>'After Tax Analysis Unlevered'!P19</f>
        <v>53732.353343805014</v>
      </c>
      <c r="Q19" s="42">
        <f>'After Tax Analysis Unlevered'!Q19</f>
        <v>55344.323944119169</v>
      </c>
      <c r="R19" s="42">
        <f>'After Tax Analysis Unlevered'!R19</f>
        <v>57004.653662442746</v>
      </c>
      <c r="S19" s="42">
        <f>'After Tax Analysis Unlevered'!S19</f>
        <v>58714.793272316027</v>
      </c>
    </row>
    <row r="20" spans="2:19" x14ac:dyDescent="0.25">
      <c r="B20" s="2" t="s">
        <v>10</v>
      </c>
      <c r="D20" s="39" t="str">
        <f>'After Tax Analysis Unlevered'!D20</f>
        <v>Residential</v>
      </c>
      <c r="F20" s="18" t="s">
        <v>2</v>
      </c>
      <c r="I20" s="14"/>
      <c r="J20" s="20">
        <f>J18-J19</f>
        <v>855000</v>
      </c>
      <c r="K20" s="20">
        <f t="shared" ref="K20:S20" si="10">K18-K19</f>
        <v>867149.99999999988</v>
      </c>
      <c r="L20" s="20">
        <f t="shared" si="10"/>
        <v>879461.99999999977</v>
      </c>
      <c r="M20" s="20">
        <f t="shared" si="10"/>
        <v>891937.82249999966</v>
      </c>
      <c r="N20" s="20">
        <f t="shared" si="10"/>
        <v>904579.29911249958</v>
      </c>
      <c r="O20" s="20">
        <f t="shared" si="10"/>
        <v>917388.27015243692</v>
      </c>
      <c r="P20" s="20">
        <f t="shared" si="10"/>
        <v>930366.58420457086</v>
      </c>
      <c r="Q20" s="20">
        <f t="shared" si="10"/>
        <v>943516.09766748233</v>
      </c>
      <c r="R20" s="20">
        <f t="shared" si="10"/>
        <v>956838.6742733327</v>
      </c>
      <c r="S20" s="20">
        <f t="shared" si="10"/>
        <v>970336.18458249595</v>
      </c>
    </row>
    <row r="21" spans="2:19" x14ac:dyDescent="0.25">
      <c r="B21" s="2" t="s">
        <v>11</v>
      </c>
      <c r="D21" s="40">
        <f>'After Tax Analysis Unlevered'!D21</f>
        <v>27.5</v>
      </c>
      <c r="F21" s="4" t="s">
        <v>3</v>
      </c>
      <c r="I21" s="14"/>
      <c r="J21" s="20">
        <f>$D$32</f>
        <v>684025.16826493898</v>
      </c>
      <c r="K21" s="20">
        <f t="shared" ref="K21:S21" si="11">$D$32</f>
        <v>684025.16826493898</v>
      </c>
      <c r="L21" s="20">
        <f t="shared" si="11"/>
        <v>684025.16826493898</v>
      </c>
      <c r="M21" s="20">
        <f t="shared" si="11"/>
        <v>684025.16826493898</v>
      </c>
      <c r="N21" s="20">
        <f t="shared" si="11"/>
        <v>684025.16826493898</v>
      </c>
      <c r="O21" s="20">
        <f t="shared" si="11"/>
        <v>684025.16826493898</v>
      </c>
      <c r="P21" s="20">
        <f t="shared" si="11"/>
        <v>684025.16826493898</v>
      </c>
      <c r="Q21" s="20">
        <f t="shared" si="11"/>
        <v>684025.16826493898</v>
      </c>
      <c r="R21" s="20">
        <f t="shared" si="11"/>
        <v>684025.16826493898</v>
      </c>
      <c r="S21" s="20">
        <f t="shared" si="11"/>
        <v>684025.16826493898</v>
      </c>
    </row>
    <row r="22" spans="2:19" x14ac:dyDescent="0.25">
      <c r="B22" s="12" t="s">
        <v>12</v>
      </c>
      <c r="D22" s="40">
        <f>'After Tax Analysis Unlevered'!D22</f>
        <v>7</v>
      </c>
      <c r="F22" s="18" t="s">
        <v>4</v>
      </c>
      <c r="I22" s="14"/>
      <c r="J22" s="20">
        <f>J20-J21</f>
        <v>170974.83173506102</v>
      </c>
      <c r="K22" s="20">
        <f t="shared" ref="K22:S22" si="12">K20-K21</f>
        <v>183124.8317350609</v>
      </c>
      <c r="L22" s="20">
        <f t="shared" si="12"/>
        <v>195436.83173506078</v>
      </c>
      <c r="M22" s="20">
        <f t="shared" si="12"/>
        <v>207912.65423506068</v>
      </c>
      <c r="N22" s="20">
        <f t="shared" si="12"/>
        <v>220554.13084756059</v>
      </c>
      <c r="O22" s="20">
        <f t="shared" si="12"/>
        <v>233363.10188749793</v>
      </c>
      <c r="P22" s="20">
        <f t="shared" si="12"/>
        <v>246341.41593963187</v>
      </c>
      <c r="Q22" s="20">
        <f t="shared" si="12"/>
        <v>259490.92940254335</v>
      </c>
      <c r="R22" s="20">
        <f t="shared" si="12"/>
        <v>272813.50600839371</v>
      </c>
      <c r="S22" s="20">
        <f t="shared" si="12"/>
        <v>286311.01631755696</v>
      </c>
    </row>
    <row r="23" spans="2:19" x14ac:dyDescent="0.25">
      <c r="D23" s="36"/>
      <c r="F23" s="4" t="s">
        <v>49</v>
      </c>
      <c r="I23" s="14"/>
      <c r="J23" s="20">
        <f>PPMT($D$30/12,J4*12,$D$31*12,-$D$28)*12</f>
        <v>185247.45045239528</v>
      </c>
      <c r="K23" s="20">
        <f t="shared" ref="K23:S23" si="13">PPMT($D$30/12,K4*12,$D$31*12,-$D$28)*12</f>
        <v>193757.68591539384</v>
      </c>
      <c r="L23" s="20">
        <f t="shared" si="13"/>
        <v>202658.88010661671</v>
      </c>
      <c r="M23" s="20">
        <f t="shared" si="13"/>
        <v>211968.9936016367</v>
      </c>
      <c r="N23" s="20">
        <f t="shared" si="13"/>
        <v>221706.81208172595</v>
      </c>
      <c r="O23" s="20">
        <f t="shared" si="13"/>
        <v>231891.98423906747</v>
      </c>
      <c r="P23" s="20">
        <f t="shared" si="13"/>
        <v>242545.06142332568</v>
      </c>
      <c r="Q23" s="20">
        <f t="shared" si="13"/>
        <v>253687.53910957248</v>
      </c>
      <c r="R23" s="20">
        <f t="shared" si="13"/>
        <v>265341.90027124423</v>
      </c>
      <c r="S23" s="20">
        <f t="shared" si="13"/>
        <v>277531.66074564302</v>
      </c>
    </row>
    <row r="24" spans="2:19" x14ac:dyDescent="0.25">
      <c r="B24" s="2" t="s">
        <v>15</v>
      </c>
      <c r="D24" s="40">
        <f>'After Tax Analysis Unlevered'!D24</f>
        <v>10</v>
      </c>
      <c r="F24" s="4" t="s">
        <v>29</v>
      </c>
      <c r="J24" s="20">
        <f t="shared" ref="J24:S24" si="14">J19</f>
        <v>45000</v>
      </c>
      <c r="K24" s="20">
        <f t="shared" si="14"/>
        <v>46350</v>
      </c>
      <c r="L24" s="20">
        <f t="shared" si="14"/>
        <v>47740.5</v>
      </c>
      <c r="M24" s="20">
        <f t="shared" si="14"/>
        <v>49172.715000000004</v>
      </c>
      <c r="N24" s="20">
        <f t="shared" si="14"/>
        <v>50647.896450000007</v>
      </c>
      <c r="O24" s="20">
        <f t="shared" si="14"/>
        <v>52167.33334350001</v>
      </c>
      <c r="P24" s="20">
        <f t="shared" si="14"/>
        <v>53732.353343805014</v>
      </c>
      <c r="Q24" s="20">
        <f t="shared" si="14"/>
        <v>55344.323944119169</v>
      </c>
      <c r="R24" s="20">
        <f t="shared" si="14"/>
        <v>57004.653662442746</v>
      </c>
      <c r="S24" s="20">
        <f t="shared" si="14"/>
        <v>58714.793272316027</v>
      </c>
    </row>
    <row r="25" spans="2:19" x14ac:dyDescent="0.25">
      <c r="B25" s="2" t="s">
        <v>48</v>
      </c>
      <c r="D25" s="35">
        <f>'After Tax Analysis Unlevered'!D25</f>
        <v>20150000</v>
      </c>
      <c r="F25" s="4" t="s">
        <v>30</v>
      </c>
      <c r="I25" s="16"/>
      <c r="J25" s="20">
        <f t="shared" ref="J25:S25" si="15">$D$13/$D$21</f>
        <v>409090.90909090912</v>
      </c>
      <c r="K25" s="20">
        <f t="shared" si="15"/>
        <v>409090.90909090912</v>
      </c>
      <c r="L25" s="20">
        <f t="shared" si="15"/>
        <v>409090.90909090912</v>
      </c>
      <c r="M25" s="20">
        <f t="shared" si="15"/>
        <v>409090.90909090912</v>
      </c>
      <c r="N25" s="20">
        <f t="shared" si="15"/>
        <v>409090.90909090912</v>
      </c>
      <c r="O25" s="20">
        <f t="shared" si="15"/>
        <v>409090.90909090912</v>
      </c>
      <c r="P25" s="20">
        <f t="shared" si="15"/>
        <v>409090.90909090912</v>
      </c>
      <c r="Q25" s="20">
        <f t="shared" si="15"/>
        <v>409090.90909090912</v>
      </c>
      <c r="R25" s="20">
        <f t="shared" si="15"/>
        <v>409090.90909090912</v>
      </c>
      <c r="S25" s="20">
        <f t="shared" si="15"/>
        <v>409090.90909090912</v>
      </c>
    </row>
    <row r="26" spans="2:19" x14ac:dyDescent="0.25">
      <c r="F26" s="4" t="s">
        <v>33</v>
      </c>
      <c r="I26" s="17"/>
      <c r="J26" s="21">
        <f ca="1">IF(J4&lt;=$D$22,SUM($J$19:J19)/$D$22,SUM(OFFSET(J19,0,0,1,-$D$22))/$D$22)</f>
        <v>6428.5714285714284</v>
      </c>
      <c r="K26" s="21">
        <f ca="1">IF(K4&lt;=$D$22,SUM($J$19:K19)/$D$22,SUM(OFFSET(K19,0,0,1,-$D$22))/$D$22)</f>
        <v>13050</v>
      </c>
      <c r="L26" s="21">
        <f ca="1">IF(L4&lt;=$D$22,SUM($J$19:L19)/$D$22,SUM(OFFSET(L19,0,0,1,-$D$22))/$D$22)</f>
        <v>19870.071428571428</v>
      </c>
      <c r="M26" s="21">
        <f ca="1">IF(M4&lt;=$D$22,SUM($J$19:M19)/$D$22,SUM(OFFSET(M19,0,0,1,-$D$22))/$D$22)</f>
        <v>26894.744999999999</v>
      </c>
      <c r="N26" s="21">
        <f ca="1">IF(N4&lt;=$D$22,SUM($J$19:N19)/$D$22,SUM(OFFSET(N19,0,0,1,-$D$22))/$D$22)</f>
        <v>34130.158778571429</v>
      </c>
      <c r="O26" s="21">
        <f ca="1">IF(O4&lt;=$D$22,SUM($J$19:O19)/$D$22,SUM(OFFSET(O19,0,0,1,-$D$22))/$D$22)</f>
        <v>41582.634970500003</v>
      </c>
      <c r="P26" s="21">
        <f ca="1">IF(P4&lt;=$D$22,SUM($J$19:P19)/$D$22,SUM(OFFSET(P19,0,0,1,-$D$22))/$D$22)</f>
        <v>49258.685448186428</v>
      </c>
      <c r="Q26" s="21">
        <f ca="1">IF(Q4&lt;=$D$22,SUM($J$19:Q19)/$D$22,SUM(OFFSET(Q19,0,0,1,-$D$22))/$D$22)</f>
        <v>50736.446011632026</v>
      </c>
      <c r="R26" s="21">
        <f ca="1">IF(R4&lt;=$D$22,SUM($J$19:R19)/$D$22,SUM(OFFSET(R19,0,0,1,-$D$22))/$D$22)</f>
        <v>52258.539391980987</v>
      </c>
      <c r="S26" s="21">
        <f ca="1">IF(S4&lt;=$D$22,SUM($J$19:S19)/$D$22,SUM(OFFSET(S19,0,0,1,-$D$22))/$D$22)</f>
        <v>53826.295573740426</v>
      </c>
    </row>
    <row r="27" spans="2:19" x14ac:dyDescent="0.25">
      <c r="B27" s="1" t="s">
        <v>16</v>
      </c>
      <c r="F27" s="3" t="s">
        <v>34</v>
      </c>
      <c r="I27" s="17"/>
      <c r="J27" s="20">
        <f ca="1">J22+J23+J24-J25-J26</f>
        <v>-14297.19833202428</v>
      </c>
      <c r="K27" s="20">
        <f t="shared" ref="K27:S27" ca="1" si="16">K22+K23+K24-K25-K26</f>
        <v>1091.6085595456534</v>
      </c>
      <c r="L27" s="20">
        <f t="shared" ca="1" si="16"/>
        <v>16875.231322196945</v>
      </c>
      <c r="M27" s="20">
        <f t="shared" ca="1" si="16"/>
        <v>33068.708745788317</v>
      </c>
      <c r="N27" s="20">
        <f t="shared" ca="1" si="16"/>
        <v>49687.771509805963</v>
      </c>
      <c r="O27" s="20">
        <f t="shared" ca="1" si="16"/>
        <v>66748.875408656269</v>
      </c>
      <c r="P27" s="20">
        <f t="shared" ca="1" si="16"/>
        <v>84269.23616766707</v>
      </c>
      <c r="Q27" s="20">
        <f t="shared" ca="1" si="16"/>
        <v>108695.43735369389</v>
      </c>
      <c r="R27" s="20">
        <f t="shared" ca="1" si="16"/>
        <v>133810.61145919055</v>
      </c>
      <c r="S27" s="20">
        <f t="shared" ca="1" si="16"/>
        <v>159640.26567086636</v>
      </c>
    </row>
    <row r="28" spans="2:19" x14ac:dyDescent="0.25">
      <c r="B28" s="2" t="s">
        <v>18</v>
      </c>
      <c r="D28" s="5">
        <f>D11*0.75</f>
        <v>11250000</v>
      </c>
      <c r="F28" s="1" t="str">
        <f>"Income Tax Payable @ "&amp;TEXT($D$15,"0%")</f>
        <v>Income Tax Payable @ 35%</v>
      </c>
      <c r="G28" s="1"/>
      <c r="H28" s="1"/>
      <c r="I28" s="43"/>
      <c r="J28" s="22">
        <f ca="1">MAX(J27*$D$15,0)</f>
        <v>0</v>
      </c>
      <c r="K28" s="22">
        <f t="shared" ref="K28:S28" ca="1" si="17">MAX(K27*$D$15,0)</f>
        <v>382.06299584097866</v>
      </c>
      <c r="L28" s="22">
        <f t="shared" ca="1" si="17"/>
        <v>5906.3309627689305</v>
      </c>
      <c r="M28" s="22">
        <f t="shared" ca="1" si="17"/>
        <v>11574.048061025911</v>
      </c>
      <c r="N28" s="22">
        <f t="shared" ca="1" si="17"/>
        <v>17390.720028432086</v>
      </c>
      <c r="O28" s="22">
        <f t="shared" ca="1" si="17"/>
        <v>23362.106393029691</v>
      </c>
      <c r="P28" s="22">
        <f t="shared" ca="1" si="17"/>
        <v>29494.232658683472</v>
      </c>
      <c r="Q28" s="22">
        <f t="shared" ca="1" si="17"/>
        <v>38043.403073792862</v>
      </c>
      <c r="R28" s="22">
        <f t="shared" ca="1" si="17"/>
        <v>46833.714010716692</v>
      </c>
      <c r="S28" s="22">
        <f t="shared" ca="1" si="17"/>
        <v>55874.092984803225</v>
      </c>
    </row>
    <row r="29" spans="2:19" x14ac:dyDescent="0.25">
      <c r="B29" s="2" t="s">
        <v>19</v>
      </c>
      <c r="D29" s="6">
        <f>D11-D28</f>
        <v>3750000</v>
      </c>
      <c r="F29" s="18"/>
      <c r="I29" s="16"/>
    </row>
    <row r="30" spans="2:19" x14ac:dyDescent="0.25">
      <c r="B30" s="2" t="s">
        <v>20</v>
      </c>
      <c r="D30" s="15">
        <v>4.4999999999999998E-2</v>
      </c>
      <c r="F30" s="18" t="s">
        <v>48</v>
      </c>
      <c r="I30" s="17"/>
      <c r="J30" s="20">
        <f>J10</f>
        <v>0</v>
      </c>
      <c r="K30" s="20">
        <f t="shared" ref="K30:S30" si="18">K10</f>
        <v>0</v>
      </c>
      <c r="L30" s="20">
        <f t="shared" si="18"/>
        <v>0</v>
      </c>
      <c r="M30" s="20">
        <f t="shared" si="18"/>
        <v>0</v>
      </c>
      <c r="N30" s="20">
        <f t="shared" si="18"/>
        <v>0</v>
      </c>
      <c r="O30" s="20">
        <f t="shared" si="18"/>
        <v>0</v>
      </c>
      <c r="P30" s="20">
        <f t="shared" si="18"/>
        <v>0</v>
      </c>
      <c r="Q30" s="20">
        <f t="shared" si="18"/>
        <v>0</v>
      </c>
      <c r="R30" s="20">
        <f t="shared" si="18"/>
        <v>0</v>
      </c>
      <c r="S30" s="20">
        <f t="shared" si="18"/>
        <v>20150000</v>
      </c>
    </row>
    <row r="31" spans="2:19" x14ac:dyDescent="0.25">
      <c r="B31" s="2" t="s">
        <v>21</v>
      </c>
      <c r="D31" s="11">
        <v>30</v>
      </c>
      <c r="F31" s="41" t="s">
        <v>46</v>
      </c>
      <c r="I31" s="17"/>
      <c r="J31" s="21">
        <f t="shared" ref="J31:S31" si="19">IF(J4=$D$24,$D$33,0)</f>
        <v>0</v>
      </c>
      <c r="K31" s="21">
        <f t="shared" si="19"/>
        <v>0</v>
      </c>
      <c r="L31" s="21">
        <f t="shared" si="19"/>
        <v>0</v>
      </c>
      <c r="M31" s="21">
        <f t="shared" si="19"/>
        <v>0</v>
      </c>
      <c r="N31" s="21">
        <f t="shared" si="19"/>
        <v>0</v>
      </c>
      <c r="O31" s="21">
        <f t="shared" si="19"/>
        <v>0</v>
      </c>
      <c r="P31" s="21">
        <f t="shared" si="19"/>
        <v>0</v>
      </c>
      <c r="Q31" s="21">
        <f t="shared" si="19"/>
        <v>0</v>
      </c>
      <c r="R31" s="21">
        <f t="shared" si="19"/>
        <v>0</v>
      </c>
      <c r="S31" s="21">
        <f t="shared" si="19"/>
        <v>9010061.4175887723</v>
      </c>
    </row>
    <row r="32" spans="2:19" x14ac:dyDescent="0.25">
      <c r="B32" s="2" t="s">
        <v>22</v>
      </c>
      <c r="D32" s="6">
        <f>PMT(D30/12,D31*12,-D28)*12</f>
        <v>684025.16826493898</v>
      </c>
      <c r="F32" t="s">
        <v>47</v>
      </c>
      <c r="I32" s="14"/>
      <c r="J32" s="20">
        <f>J30-J31</f>
        <v>0</v>
      </c>
      <c r="K32" s="20">
        <f t="shared" ref="K32:S32" si="20">K30-K31</f>
        <v>0</v>
      </c>
      <c r="L32" s="20">
        <f t="shared" si="20"/>
        <v>0</v>
      </c>
      <c r="M32" s="20">
        <f t="shared" si="20"/>
        <v>0</v>
      </c>
      <c r="N32" s="20">
        <f t="shared" si="20"/>
        <v>0</v>
      </c>
      <c r="O32" s="20">
        <f t="shared" si="20"/>
        <v>0</v>
      </c>
      <c r="P32" s="20">
        <f t="shared" si="20"/>
        <v>0</v>
      </c>
      <c r="Q32" s="20">
        <f t="shared" si="20"/>
        <v>0</v>
      </c>
      <c r="R32" s="20">
        <f t="shared" si="20"/>
        <v>0</v>
      </c>
      <c r="S32" s="20">
        <f t="shared" si="20"/>
        <v>11139938.582411228</v>
      </c>
    </row>
    <row r="33" spans="2:19" x14ac:dyDescent="0.25">
      <c r="B33" s="2" t="str">
        <f>"Loan Payoff at Year "&amp;D24</f>
        <v>Loan Payoff at Year 10</v>
      </c>
      <c r="D33" s="6">
        <f>PV(D30/12,(D31-D24)*12,-D32/12)</f>
        <v>9010061.4175887723</v>
      </c>
      <c r="I33" s="14"/>
    </row>
    <row r="34" spans="2:19" x14ac:dyDescent="0.25">
      <c r="F34" s="18" t="s">
        <v>42</v>
      </c>
      <c r="I34" s="14">
        <f>-D29</f>
        <v>-3750000</v>
      </c>
      <c r="J34" s="20">
        <f>J32+J22</f>
        <v>170974.83173506102</v>
      </c>
      <c r="K34" s="20">
        <f t="shared" ref="K34:S34" si="21">K32+K22</f>
        <v>183124.8317350609</v>
      </c>
      <c r="L34" s="20">
        <f t="shared" si="21"/>
        <v>195436.83173506078</v>
      </c>
      <c r="M34" s="20">
        <f t="shared" si="21"/>
        <v>207912.65423506068</v>
      </c>
      <c r="N34" s="20">
        <f t="shared" si="21"/>
        <v>220554.13084756059</v>
      </c>
      <c r="O34" s="20">
        <f t="shared" si="21"/>
        <v>233363.10188749793</v>
      </c>
      <c r="P34" s="20">
        <f t="shared" si="21"/>
        <v>246341.41593963187</v>
      </c>
      <c r="Q34" s="20">
        <f t="shared" si="21"/>
        <v>259490.92940254335</v>
      </c>
      <c r="R34" s="20">
        <f t="shared" si="21"/>
        <v>272813.50600839371</v>
      </c>
      <c r="S34" s="20">
        <f t="shared" si="21"/>
        <v>11426249.598728785</v>
      </c>
    </row>
    <row r="35" spans="2:19" x14ac:dyDescent="0.25">
      <c r="F35" s="1" t="s">
        <v>41</v>
      </c>
      <c r="G35" s="1"/>
      <c r="H35" s="1"/>
      <c r="I35" s="19">
        <f>I34</f>
        <v>-3750000</v>
      </c>
      <c r="J35" s="22">
        <f t="shared" ref="J35:S35" ca="1" si="22">J34-J13-J16-J28</f>
        <v>170974.83173506102</v>
      </c>
      <c r="K35" s="22">
        <f t="shared" ca="1" si="22"/>
        <v>182742.76873921993</v>
      </c>
      <c r="L35" s="22">
        <f t="shared" ca="1" si="22"/>
        <v>189530.50077229185</v>
      </c>
      <c r="M35" s="22">
        <f t="shared" ca="1" si="22"/>
        <v>196338.60617403476</v>
      </c>
      <c r="N35" s="22">
        <f t="shared" ca="1" si="22"/>
        <v>203163.4108191285</v>
      </c>
      <c r="O35" s="22">
        <f t="shared" ca="1" si="22"/>
        <v>210000.99549446825</v>
      </c>
      <c r="P35" s="22">
        <f t="shared" ca="1" si="22"/>
        <v>216847.1832809484</v>
      </c>
      <c r="Q35" s="22">
        <f t="shared" ca="1" si="22"/>
        <v>221447.52632875048</v>
      </c>
      <c r="R35" s="22">
        <f t="shared" ca="1" si="22"/>
        <v>225979.79199767701</v>
      </c>
      <c r="S35" s="22">
        <f t="shared" ca="1" si="22"/>
        <v>8899678.5955200717</v>
      </c>
    </row>
    <row r="36" spans="2:19" x14ac:dyDescent="0.25">
      <c r="F36" s="4"/>
      <c r="I36" s="14"/>
    </row>
    <row r="37" spans="2:19" x14ac:dyDescent="0.25">
      <c r="F37" s="4"/>
      <c r="I37" s="14"/>
    </row>
    <row r="38" spans="2:19" x14ac:dyDescent="0.25">
      <c r="F38" s="3"/>
      <c r="I38" s="14"/>
    </row>
    <row r="39" spans="2:19" x14ac:dyDescent="0.25">
      <c r="I39" s="14"/>
    </row>
    <row r="41" spans="2:19" x14ac:dyDescent="0.25">
      <c r="I41" s="14"/>
    </row>
    <row r="46" spans="2:19" x14ac:dyDescent="0.25">
      <c r="I46" s="14"/>
    </row>
    <row r="47" spans="2:19" x14ac:dyDescent="0.25">
      <c r="I47" s="14"/>
    </row>
    <row r="48" spans="2:19" x14ac:dyDescent="0.25">
      <c r="I48" s="14"/>
    </row>
    <row r="49" spans="9:9" x14ac:dyDescent="0.25">
      <c r="I49" s="14"/>
    </row>
    <row r="50" spans="9:9" x14ac:dyDescent="0.25">
      <c r="I50" s="14"/>
    </row>
    <row r="51" spans="9:9" x14ac:dyDescent="0.25">
      <c r="I51" s="14"/>
    </row>
    <row r="52" spans="9:9" x14ac:dyDescent="0.25">
      <c r="I52" s="14"/>
    </row>
    <row r="53" spans="9:9" x14ac:dyDescent="0.25">
      <c r="I53" s="14"/>
    </row>
    <row r="54" spans="9:9" x14ac:dyDescent="0.25">
      <c r="I54" s="14"/>
    </row>
    <row r="55" spans="9:9" x14ac:dyDescent="0.25">
      <c r="I55" s="14"/>
    </row>
    <row r="56" spans="9:9" x14ac:dyDescent="0.25">
      <c r="I56" s="14"/>
    </row>
    <row r="57" spans="9:9" x14ac:dyDescent="0.25">
      <c r="I57" s="14"/>
    </row>
    <row r="58" spans="9:9" x14ac:dyDescent="0.25">
      <c r="I58" s="14"/>
    </row>
    <row r="59" spans="9:9" x14ac:dyDescent="0.25">
      <c r="I59" s="14"/>
    </row>
    <row r="60" spans="9:9" x14ac:dyDescent="0.25">
      <c r="I60" s="14"/>
    </row>
    <row r="61" spans="9:9" x14ac:dyDescent="0.25">
      <c r="I61" s="14"/>
    </row>
    <row r="62" spans="9:9" x14ac:dyDescent="0.25">
      <c r="I62" s="14"/>
    </row>
    <row r="63" spans="9:9" x14ac:dyDescent="0.25">
      <c r="I63" s="14"/>
    </row>
    <row r="64" spans="9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</sheetData>
  <dataValidations disablePrompts="1" count="2">
    <dataValidation type="list" allowBlank="1" showInputMessage="1" showErrorMessage="1" sqref="D18">
      <formula1>"Yes,No"</formula1>
    </dataValidation>
    <dataValidation type="list" allowBlank="1" showInputMessage="1" showErrorMessage="1" sqref="D20">
      <formula1>"Residential, Non-Residential"</formula1>
    </dataValidation>
  </dataValidations>
  <hyperlinks>
    <hyperlink ref="B2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After Tax Analysis Unlevered</vt:lpstr>
      <vt:lpstr>After Tax Analysis Levered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Spencer Burton</cp:lastModifiedBy>
  <dcterms:created xsi:type="dcterms:W3CDTF">2016-05-25T17:47:30Z</dcterms:created>
  <dcterms:modified xsi:type="dcterms:W3CDTF">2017-07-08T16:36:39Z</dcterms:modified>
</cp:coreProperties>
</file>