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r25\Documents\Temporary Work\"/>
    </mc:Choice>
  </mc:AlternateContent>
  <bookViews>
    <workbookView xWindow="0" yWindow="0" windowWidth="25128" windowHeight="12360" tabRatio="872"/>
  </bookViews>
  <sheets>
    <sheet name="Refinance Analysis" sheetId="9" r:id="rId1"/>
  </sheets>
  <externalReferences>
    <externalReference r:id="rId2"/>
    <externalReference r:id="rId3"/>
    <externalReference r:id="rId4"/>
  </externalReferences>
  <definedNames>
    <definedName name="__FDS_HYPERLINK_TOGGLE_STATE__" hidden="1">"ON"</definedName>
    <definedName name="_2S" hidden="1">[1]OfficeStock!#REF!</definedName>
    <definedName name="_Fill" hidden="1">'[2]Key Assumptions'!#REF!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ad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CCCCCCCCC" hidden="1">{FALSE,FALSE,1.75,1,600,351,FALSE,FALSE,TRUE,TRUE,0,30,#N/A,41,#N/A,9.57777777777778,18.9166666666667,1,FALSE,FALSE,1,TRUE,1,FALSE,100,"Swvu.As._.Is._.Value.","ACwvu.As._.Is._.Value.",1,FALSE,FALSE,1,1,1,1,1,"","",FALSE,FALSE,FALSE,FALSE,1,#N/A,1,1,FALSE,FALSE,FALSE,FALSE,FALSE,FALSE}</definedName>
    <definedName name="dfd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fgsg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sthdryjcghmcg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ere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l2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qww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fd" hidden="1">{#N/A,#N/A,FALSE,"Cashflow Analysis";#N/A,#N/A,FALSE,"Sensitivity Analysis";#N/A,#N/A,FALSE,"PV";#N/A,#N/A,FALSE,"Pro Forma"}</definedName>
    <definedName name="gg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s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r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IntroPrintArea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39406.6947453704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hgkj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j" hidden="1">{"CASHFLOW",#N/A,FALSE,"Northpointe"}</definedName>
    <definedName name="LV" hidden="1">[3]Loan!$J$8/[3]Loan!$J$33</definedName>
    <definedName name="new" hidden="1">{"Investor",#N/A,FALSE,"Model";"Property",#N/A,FALSE,"Model";"Incentive Taxes",#N/A,FALSE,"Model"}</definedName>
    <definedName name="promote" hidden="1">{"Investor",#N/A,FALSE,"Model";"Property",#N/A,FALSE,"Model";"Incentive Taxes",#N/A,FALSE,"Model"}</definedName>
    <definedName name="q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rr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dsa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encount" hidden="1">1</definedName>
    <definedName name="test" hidden="1">{FALSE,FALSE,1.75,1,600,351,FALSE,FALSE,TRUE,TRUE,0,30,#N/A,41,#N/A,9.57777777777778,18.9166666666667,1,FALSE,FALSE,1,TRUE,1,FALSE,100,"Swvu.As._.Is._.Value.","ACwvu.As._.Is._.Value.",1,FALSE,FALSE,1,1,1,1,1,"","",FALSE,FALSE,FALSE,FALSE,1,#N/A,1,1,FALSE,FALSE,FALSE,FALSE,FALSE,FALSE}</definedName>
    <definedName name="test3" hidden="1">{FALSE,FALSE,1.75,1,600,351,FALSE,FALSE,TRUE,TRUE,0,30,#N/A,41,#N/A,9.57777777777778,18.9166666666667,1,FALSE,FALSE,1,TRUE,1,FALSE,100,"Swvu.As._.Is._.Value.","ACwvu.As._.Is._.Value.",1,FALSE,FALSE,1,1,1,1,1,"","",FALSE,FALSE,FALSE,FALSE,1,#N/A,1,1,FALSE,FALSE,FALSE,FALSE,FALSE,FALSE}</definedName>
    <definedName name="ttrrt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TTTTTTTT" hidden="1">{FALSE,FALSE,1.75,1,600,351,FALSE,FALSE,TRUE,TRUE,0,30,#N/A,41,#N/A,9.57777777777778,18.9166666666667,1,FALSE,FALSE,1,TRUE,1,FALSE,100,"Swvu.As._.Is._.Value.","ACwvu.As._.Is._.Value.",1,FALSE,FALSE,1,1,1,1,1,"","",FALSE,FALSE,FALSE,FALSE,1,#N/A,1,1,FALSE,FALSE,FALSE,FALSE,FALSE,FALSE}</definedName>
    <definedName name="Value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wrn.All._.Schedules.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trium." hidden="1">{"Atrium-Investor",#N/A,FALSE,"Atrium";"Atrium-Property",#N/A,FALSE,"Atrium"}</definedName>
    <definedName name="wrn.Binder." hidden="1">{"Summary",#N/A,TRUE,"Summary";"Leasing",#N/A,TRUE,"Lease";"Expenses",#N/A,TRUE,"Lease";"Development",#N/A,TRUE,"Development";"CFlow",#N/A,TRUE,"5 Year"}</definedName>
    <definedName name="wrn.BofA." hidden="1">{"BofA-Investor",#N/A,FALSE,"BofA Tower";"BofA-Property",#N/A,FALSE,"BofA Tower"}</definedName>
    <definedName name="wrn.Cash._.Flow._.and._.Matrix.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DCF." hidden="1">{#N/A,#N/A,FALSE,"DCF-COM";#N/A,#N/A,FALSE,"VAC-COM"}</definedName>
    <definedName name="wrn.Final." hidden="1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Mort.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Garage." hidden="1">{#N/A,#N/A,FALSE,"Garage Assumpt 1";#N/A,#N/A,FALSE,"Garage Op Proj";#N/A,#N/A,FALSE,"Hist I&amp;E";#N/A,#N/A,FALSE,"Garage Lease"}</definedName>
    <definedName name="wrn.Hightower." hidden="1">{"Hightower-Investor",#N/A,FALSE,"Hightower";"Hightower-Property",#N/A,FALSE,"Hightower"}</definedName>
    <definedName name="wrn.III." hidden="1">{"CASHFLOW",#N/A,FALSE,"Northpointe"}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Lease._.Rpts." hidden="1">{"Lease1",#N/A,FALSE,"Lease";"Lease2",#N/A,FALSE,"Lease";"Lease3",#N/A,FALSE,"Lease";"Dev Costs",#N/A,FALSE,"Development"}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odel." hidden="1">{"Investor",#N/A,FALSE,"Model";"Property",#N/A,FALSE,"Model";"Incentive Taxes",#N/A,FALSE,"Model"}</definedName>
    <definedName name="wrn.model2." hidden="1">{"Investor",#N/A,FALSE,"Model";"Property",#N/A,FALSE,"Model";"Incentive Taxes",#N/A,FALSE,"Model"}</definedName>
    <definedName name="wrn.Pavilion." hidden="1">{"Pavilion-Investor",#N/A,FALSE,"Pavilion";"Pavilion-Property",#N/A,FALSE,"Pavilion"}</definedName>
    <definedName name="wrn.Print." hidden="1">{#N/A,#N/A,TRUE,"Cerritos Gardens";#N/A,#N/A,TRUE,"Cerritos Gardens Plus .5%";#N/A,#N/A,TRUE,"Corte Bella";#N/A,#N/A,TRUE,"Corte Bella Plus .05%";#N/A,#N/A,TRUE,"Crystal Springs";#N/A,#N/A,TRUE,"Crystal Springs Plus .05%"}</definedName>
    <definedName name="wrn.Pro._.Forma." hidden="1">{#N/A,#N/A,FALSE,"ACQ";#N/A,#N/A,FALSE,"ASSUMP";#N/A,#N/A,FALSE,"CASH FLOW";#N/A,#N/A,FALSE,"SALE";#N/A,#N/A,FALSE,"TIS";#N/A,#N/A,FALSE,"RENT ROLL"}</definedName>
    <definedName name="wrn.Projections." hidden="1">{#N/A,#N/A,FALSE,"Release Price";#N/A,#N/A,FALSE,"Cash flow for 50 Unit";#N/A,#N/A,FALSE,"Cash Flow for 3 Models"}</definedName>
    <definedName name="wrn.Rapport." hidden="1">{#N/A,#N/A,FALSE,"SHEET1";#N/A,#N/A,FALSE,"SHEET2";#N/A,#N/A,FALSE,"SHEET3";#N/A,#N/A,FALSE,"SHEET4"}</definedName>
    <definedName name="wrn.SouthTrust." hidden="1">{"SouthTrust-Investor",#N/A,FALSE,"SouthTrust";"SouthTrust-Property",#N/A,FALSE,"SouthTrust"}</definedName>
    <definedName name="wrn.Sugar." hidden="1">{"Sugar-Investor",#N/A,FALSE,"Sugar";"Sugar-Property",#N/A,FALSE,"Sugar"}</definedName>
    <definedName name="wrn.The._.Rock." hidden="1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otal." hidden="1">{"Industrial",#N/A,FALSE,"Thumb";"Office",#N/A,FALSE,"Thumb";"Retail",#N/A,FALSE,"Thumb"}</definedName>
    <definedName name="wrn.TownPoint." hidden="1">{"Townpoint-Investor",#N/A,FALSE,"TownPoint";"Townpoint-Property",#N/A,FALSE,"TownPoint"}</definedName>
    <definedName name="wrn.Value." hidden="1">{#N/A,#N/A,FALSE,"Cashflow Analysis";#N/A,#N/A,FALSE,"Sensitivity Analysis";#N/A,#N/A,FALSE,"PV";#N/A,#N/A,FALSE,"Pro Forma"}</definedName>
    <definedName name="wvu.As._.Is._.Value." hidden="1">{FALSE,FALSE,1.75,1,600,351,FALSE,FALSE,TRUE,TRUE,0,30,#N/A,41,#N/A,9.57777777777778,18.9166666666667,1,FALSE,FALSE,1,TRUE,1,FALSE,100,"Swvu.As._.Is._.Value.","ACwvu.As._.Is._.Value.",1,FALSE,FALSE,1,1,1,1,1,"","",FALSE,FALSE,FALSE,FALSE,1,#N/A,1,1,FALSE,FALSE,FALSE,FALSE,FALSE,FALSE}</definedName>
    <definedName name="w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x" hidden="1">{#N/A,#N/A,FALSE,"Cashflow Analysis";#N/A,#N/A,FALSE,"Sensitivity Analysis";#N/A,#N/A,FALSE,"PV";#N/A,#N/A,FALSE,"Pro Forma"}</definedName>
  </definedNames>
  <calcPr calcId="152511" iterate="1"/>
</workbook>
</file>

<file path=xl/calcChain.xml><?xml version="1.0" encoding="utf-8"?>
<calcChain xmlns="http://schemas.openxmlformats.org/spreadsheetml/2006/main">
  <c r="R8" i="9" l="1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D7" i="9"/>
  <c r="C19" i="9" l="1"/>
  <c r="C11" i="9"/>
  <c r="C14" i="9"/>
  <c r="D5" i="9"/>
  <c r="D30" i="9"/>
  <c r="D40" i="9"/>
  <c r="E38" i="9"/>
  <c r="F38" i="9" s="1"/>
  <c r="G38" i="9" s="1"/>
  <c r="H38" i="9" s="1"/>
  <c r="I38" i="9" s="1"/>
  <c r="J38" i="9" s="1"/>
  <c r="K38" i="9" s="1"/>
  <c r="L38" i="9" s="1"/>
  <c r="M38" i="9" s="1"/>
  <c r="N38" i="9" s="1"/>
  <c r="O38" i="9" s="1"/>
  <c r="P38" i="9" s="1"/>
  <c r="Q38" i="9" s="1"/>
  <c r="R38" i="9" s="1"/>
  <c r="F43" i="9"/>
  <c r="G43" i="9" s="1"/>
  <c r="H43" i="9" s="1"/>
  <c r="I43" i="9" s="1"/>
  <c r="E6" i="9"/>
  <c r="F6" i="9" s="1"/>
  <c r="E11" i="9"/>
  <c r="F11" i="9" s="1"/>
  <c r="G11" i="9" s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R30" i="9" s="1"/>
  <c r="H30" i="9" l="1"/>
  <c r="L30" i="9"/>
  <c r="P30" i="9"/>
  <c r="E30" i="9"/>
  <c r="I30" i="9"/>
  <c r="M30" i="9"/>
  <c r="Q30" i="9"/>
  <c r="F30" i="9"/>
  <c r="J30" i="9"/>
  <c r="N30" i="9"/>
  <c r="G30" i="9"/>
  <c r="K30" i="9"/>
  <c r="O30" i="9"/>
  <c r="D12" i="9"/>
  <c r="E12" i="9"/>
  <c r="G6" i="9"/>
  <c r="E4" i="9"/>
  <c r="F4" i="9" s="1"/>
  <c r="G4" i="9" s="1"/>
  <c r="E5" i="9"/>
  <c r="F5" i="9" s="1"/>
  <c r="G5" i="9" s="1"/>
  <c r="H5" i="9" s="1"/>
  <c r="I5" i="9" s="1"/>
  <c r="J5" i="9" s="1"/>
  <c r="K5" i="9" s="1"/>
  <c r="L5" i="9" s="1"/>
  <c r="M5" i="9" s="1"/>
  <c r="N5" i="9" s="1"/>
  <c r="O5" i="9" s="1"/>
  <c r="P5" i="9" s="1"/>
  <c r="Q5" i="9" s="1"/>
  <c r="R5" i="9" s="1"/>
  <c r="F12" i="9" l="1"/>
  <c r="H6" i="9"/>
  <c r="G12" i="9" l="1"/>
  <c r="I6" i="9"/>
  <c r="H12" i="9" l="1"/>
  <c r="J6" i="9"/>
  <c r="I12" i="9" l="1"/>
  <c r="K6" i="9"/>
  <c r="S52" i="9"/>
  <c r="B52" i="9" s="1"/>
  <c r="J12" i="9" l="1"/>
  <c r="L6" i="9"/>
  <c r="K12" i="9" l="1"/>
  <c r="M6" i="9"/>
  <c r="L12" i="9" l="1"/>
  <c r="N6" i="9"/>
  <c r="M12" i="9" l="1"/>
  <c r="O6" i="9"/>
  <c r="N12" i="9" l="1"/>
  <c r="P6" i="9"/>
  <c r="O12" i="9" l="1"/>
  <c r="Q6" i="9"/>
  <c r="P12" i="9" l="1"/>
  <c r="R6" i="9"/>
  <c r="R12" i="9" l="1"/>
  <c r="Q12" i="9"/>
  <c r="S68" i="9" l="1"/>
  <c r="B68" i="9" s="1"/>
  <c r="S67" i="9"/>
  <c r="B67" i="9" s="1"/>
  <c r="S66" i="9"/>
  <c r="B66" i="9" s="1"/>
  <c r="S65" i="9"/>
  <c r="B65" i="9" s="1"/>
  <c r="S64" i="9"/>
  <c r="B64" i="9" s="1"/>
  <c r="S62" i="9"/>
  <c r="B62" i="9" s="1"/>
  <c r="S61" i="9"/>
  <c r="B61" i="9" s="1"/>
  <c r="S60" i="9"/>
  <c r="B60" i="9" s="1"/>
  <c r="S59" i="9"/>
  <c r="B59" i="9" s="1"/>
  <c r="S58" i="9"/>
  <c r="B58" i="9" s="1"/>
  <c r="D25" i="9" l="1"/>
  <c r="E39" i="9"/>
  <c r="S56" i="9"/>
  <c r="B56" i="9" s="1"/>
  <c r="S55" i="9"/>
  <c r="B55" i="9" s="1"/>
  <c r="S54" i="9"/>
  <c r="B54" i="9" s="1"/>
  <c r="S53" i="9"/>
  <c r="B53" i="9" s="1"/>
  <c r="S46" i="9"/>
  <c r="B46" i="9" s="1"/>
  <c r="D44" i="9"/>
  <c r="S50" i="9"/>
  <c r="B50" i="9" s="1"/>
  <c r="S49" i="9"/>
  <c r="B49" i="9" s="1"/>
  <c r="S48" i="9"/>
  <c r="B48" i="9" s="1"/>
  <c r="S47" i="9"/>
  <c r="B47" i="9" s="1"/>
  <c r="E27" i="9"/>
  <c r="E26" i="9"/>
  <c r="F26" i="9" s="1"/>
  <c r="G26" i="9" s="1"/>
  <c r="H26" i="9" s="1"/>
  <c r="I26" i="9" s="1"/>
  <c r="J26" i="9" s="1"/>
  <c r="K26" i="9" s="1"/>
  <c r="L26" i="9" s="1"/>
  <c r="M26" i="9" s="1"/>
  <c r="N26" i="9" s="1"/>
  <c r="O26" i="9" s="1"/>
  <c r="P26" i="9" s="1"/>
  <c r="Q26" i="9" s="1"/>
  <c r="R26" i="9" s="1"/>
  <c r="E22" i="9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Q22" i="9" s="1"/>
  <c r="R22" i="9" s="1"/>
  <c r="F39" i="9" l="1"/>
  <c r="E40" i="9"/>
  <c r="E25" i="9"/>
  <c r="F25" i="9" s="1"/>
  <c r="G25" i="9" s="1"/>
  <c r="H25" i="9" s="1"/>
  <c r="I25" i="9" s="1"/>
  <c r="J25" i="9" s="1"/>
  <c r="K25" i="9" s="1"/>
  <c r="L25" i="9" s="1"/>
  <c r="M25" i="9" s="1"/>
  <c r="N25" i="9" s="1"/>
  <c r="O25" i="9" s="1"/>
  <c r="P25" i="9" s="1"/>
  <c r="Q25" i="9" s="1"/>
  <c r="R25" i="9" s="1"/>
  <c r="F27" i="9"/>
  <c r="G39" i="9" l="1"/>
  <c r="F40" i="9"/>
  <c r="G27" i="9"/>
  <c r="H39" i="9" l="1"/>
  <c r="G40" i="9"/>
  <c r="H27" i="9"/>
  <c r="I39" i="9" l="1"/>
  <c r="H40" i="9"/>
  <c r="I27" i="9"/>
  <c r="J39" i="9" l="1"/>
  <c r="I40" i="9"/>
  <c r="J27" i="9"/>
  <c r="K39" i="9" l="1"/>
  <c r="J40" i="9"/>
  <c r="K27" i="9"/>
  <c r="L39" i="9" l="1"/>
  <c r="K40" i="9"/>
  <c r="L27" i="9"/>
  <c r="M39" i="9" l="1"/>
  <c r="L40" i="9"/>
  <c r="M27" i="9"/>
  <c r="N39" i="9" l="1"/>
  <c r="M40" i="9"/>
  <c r="N27" i="9"/>
  <c r="O39" i="9" l="1"/>
  <c r="N40" i="9"/>
  <c r="O27" i="9"/>
  <c r="P39" i="9" l="1"/>
  <c r="O40" i="9"/>
  <c r="P27" i="9"/>
  <c r="Q39" i="9" l="1"/>
  <c r="P40" i="9"/>
  <c r="Q27" i="9"/>
  <c r="R39" i="9" l="1"/>
  <c r="R40" i="9" s="1"/>
  <c r="Q40" i="9"/>
  <c r="R27" i="9"/>
  <c r="F44" i="9" l="1"/>
  <c r="E44" i="9"/>
  <c r="G44" i="9"/>
  <c r="H4" i="9" l="1"/>
  <c r="H44" i="9" l="1"/>
  <c r="I4" i="9"/>
  <c r="I44" i="9" l="1"/>
  <c r="J4" i="9"/>
  <c r="J44" i="9" l="1"/>
  <c r="K4" i="9"/>
  <c r="K44" i="9" l="1"/>
  <c r="L4" i="9"/>
  <c r="L44" i="9" l="1"/>
  <c r="M4" i="9"/>
  <c r="M44" i="9" l="1"/>
  <c r="N4" i="9"/>
  <c r="N44" i="9" l="1"/>
  <c r="O4" i="9"/>
  <c r="O44" i="9" l="1"/>
  <c r="P4" i="9"/>
  <c r="P44" i="9" l="1"/>
  <c r="Q4" i="9"/>
  <c r="Q44" i="9" l="1"/>
  <c r="R4" i="9"/>
  <c r="R44" i="9" l="1"/>
  <c r="M23" i="9" l="1"/>
  <c r="G23" i="9"/>
  <c r="K23" i="9"/>
  <c r="O23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D46" i="9"/>
  <c r="C18" i="9" s="1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N23" i="9" l="1"/>
  <c r="N33" i="9" s="1"/>
  <c r="K33" i="9"/>
  <c r="I23" i="9"/>
  <c r="I33" i="9" s="1"/>
  <c r="O33" i="9"/>
  <c r="Q23" i="9"/>
  <c r="Q33" i="9" s="1"/>
  <c r="E23" i="9"/>
  <c r="E33" i="9" s="1"/>
  <c r="R23" i="9"/>
  <c r="R33" i="9" s="1"/>
  <c r="F23" i="9"/>
  <c r="F33" i="9" s="1"/>
  <c r="J23" i="9"/>
  <c r="J33" i="9" s="1"/>
  <c r="M33" i="9"/>
  <c r="G33" i="9"/>
  <c r="P23" i="9"/>
  <c r="P33" i="9" s="1"/>
  <c r="L23" i="9"/>
  <c r="L33" i="9" s="1"/>
  <c r="H23" i="9"/>
  <c r="H33" i="9" s="1"/>
  <c r="D23" i="9"/>
  <c r="D33" i="9" s="1"/>
  <c r="D62" i="9" l="1"/>
  <c r="D61" i="9"/>
  <c r="D17" i="9"/>
  <c r="D60" i="9"/>
  <c r="D58" i="9"/>
  <c r="E7" i="9"/>
  <c r="C17" i="9"/>
  <c r="D59" i="9"/>
  <c r="Q19" i="9" l="1"/>
  <c r="Q34" i="9"/>
  <c r="Q67" i="9" s="1"/>
  <c r="Q14" i="9"/>
  <c r="Q55" i="9"/>
  <c r="Q54" i="9"/>
  <c r="Q56" i="9"/>
  <c r="Q52" i="9"/>
  <c r="Q53" i="9"/>
  <c r="Q18" i="9"/>
  <c r="P19" i="9"/>
  <c r="P34" i="9"/>
  <c r="P35" i="9" s="1"/>
  <c r="P14" i="9"/>
  <c r="P18" i="9"/>
  <c r="P56" i="9"/>
  <c r="P52" i="9"/>
  <c r="P55" i="9"/>
  <c r="P53" i="9"/>
  <c r="P54" i="9"/>
  <c r="F34" i="9"/>
  <c r="F66" i="9" s="1"/>
  <c r="F19" i="9"/>
  <c r="F14" i="9"/>
  <c r="F55" i="9"/>
  <c r="F56" i="9"/>
  <c r="F52" i="9"/>
  <c r="F18" i="9"/>
  <c r="F54" i="9"/>
  <c r="F53" i="9"/>
  <c r="J34" i="9"/>
  <c r="J64" i="9" s="1"/>
  <c r="J19" i="9"/>
  <c r="J14" i="9"/>
  <c r="J56" i="9"/>
  <c r="J18" i="9"/>
  <c r="J54" i="9"/>
  <c r="J53" i="9"/>
  <c r="J55" i="9"/>
  <c r="J52" i="9"/>
  <c r="N34" i="9"/>
  <c r="N35" i="9" s="1"/>
  <c r="N19" i="9"/>
  <c r="N14" i="9"/>
  <c r="N54" i="9"/>
  <c r="N52" i="9"/>
  <c r="N53" i="9"/>
  <c r="N55" i="9"/>
  <c r="N18" i="9"/>
  <c r="N56" i="9"/>
  <c r="M19" i="9"/>
  <c r="M34" i="9"/>
  <c r="M14" i="9"/>
  <c r="M55" i="9"/>
  <c r="M53" i="9"/>
  <c r="M52" i="9"/>
  <c r="M54" i="9"/>
  <c r="M18" i="9"/>
  <c r="M56" i="9"/>
  <c r="D19" i="9"/>
  <c r="D34" i="9"/>
  <c r="D35" i="9" s="1"/>
  <c r="D14" i="9"/>
  <c r="D56" i="9"/>
  <c r="D18" i="9"/>
  <c r="D55" i="9"/>
  <c r="D53" i="9"/>
  <c r="D54" i="9"/>
  <c r="D52" i="9"/>
  <c r="H19" i="9"/>
  <c r="H34" i="9"/>
  <c r="H68" i="9" s="1"/>
  <c r="H14" i="9"/>
  <c r="H56" i="9"/>
  <c r="H52" i="9"/>
  <c r="H55" i="9"/>
  <c r="H53" i="9"/>
  <c r="H54" i="9"/>
  <c r="H18" i="9"/>
  <c r="R34" i="9"/>
  <c r="R19" i="9"/>
  <c r="R14" i="9"/>
  <c r="R53" i="9"/>
  <c r="R52" i="9"/>
  <c r="R56" i="9"/>
  <c r="R18" i="9"/>
  <c r="R55" i="9"/>
  <c r="R54" i="9"/>
  <c r="G19" i="9"/>
  <c r="G34" i="9"/>
  <c r="G14" i="9"/>
  <c r="G55" i="9"/>
  <c r="G54" i="9"/>
  <c r="G56" i="9"/>
  <c r="G53" i="9"/>
  <c r="G52" i="9"/>
  <c r="G18" i="9"/>
  <c r="K19" i="9"/>
  <c r="K34" i="9"/>
  <c r="K14" i="9"/>
  <c r="K53" i="9"/>
  <c r="K52" i="9"/>
  <c r="K56" i="9"/>
  <c r="K55" i="9"/>
  <c r="K18" i="9"/>
  <c r="K54" i="9"/>
  <c r="O19" i="9"/>
  <c r="O34" i="9"/>
  <c r="O14" i="9"/>
  <c r="O56" i="9"/>
  <c r="O52" i="9"/>
  <c r="O55" i="9"/>
  <c r="O18" i="9"/>
  <c r="O54" i="9"/>
  <c r="O53" i="9"/>
  <c r="L19" i="9"/>
  <c r="L34" i="9"/>
  <c r="L35" i="9" s="1"/>
  <c r="L14" i="9"/>
  <c r="L53" i="9"/>
  <c r="L54" i="9"/>
  <c r="L18" i="9"/>
  <c r="L56" i="9"/>
  <c r="L52" i="9"/>
  <c r="L55" i="9"/>
  <c r="E19" i="9"/>
  <c r="E34" i="9"/>
  <c r="E65" i="9" s="1"/>
  <c r="E14" i="9"/>
  <c r="E52" i="9"/>
  <c r="E56" i="9"/>
  <c r="E18" i="9"/>
  <c r="E55" i="9"/>
  <c r="E53" i="9"/>
  <c r="E54" i="9"/>
  <c r="I19" i="9"/>
  <c r="I34" i="9"/>
  <c r="I35" i="9" s="1"/>
  <c r="I14" i="9"/>
  <c r="I56" i="9"/>
  <c r="I55" i="9"/>
  <c r="I53" i="9"/>
  <c r="I54" i="9"/>
  <c r="I52" i="9"/>
  <c r="I18" i="9"/>
  <c r="E60" i="9"/>
  <c r="E17" i="9"/>
  <c r="E58" i="9"/>
  <c r="F7" i="9"/>
  <c r="E59" i="9"/>
  <c r="E61" i="9"/>
  <c r="E62" i="9"/>
  <c r="H35" i="9" l="1"/>
  <c r="L64" i="9"/>
  <c r="F35" i="9"/>
  <c r="P68" i="9"/>
  <c r="E35" i="9"/>
  <c r="F68" i="9"/>
  <c r="H66" i="9"/>
  <c r="N68" i="9"/>
  <c r="H67" i="9"/>
  <c r="N65" i="9"/>
  <c r="P65" i="9"/>
  <c r="H64" i="9"/>
  <c r="N64" i="9"/>
  <c r="Q64" i="9"/>
  <c r="L67" i="9"/>
  <c r="N67" i="9"/>
  <c r="N66" i="9"/>
  <c r="H65" i="9"/>
  <c r="L68" i="9"/>
  <c r="Q35" i="9"/>
  <c r="E67" i="9"/>
  <c r="F67" i="9"/>
  <c r="P67" i="9"/>
  <c r="E66" i="9"/>
  <c r="D68" i="9"/>
  <c r="J67" i="9"/>
  <c r="P66" i="9"/>
  <c r="E64" i="9"/>
  <c r="J68" i="9"/>
  <c r="D67" i="9"/>
  <c r="F64" i="9"/>
  <c r="I67" i="9"/>
  <c r="P64" i="9"/>
  <c r="E68" i="9"/>
  <c r="J35" i="9"/>
  <c r="D65" i="9"/>
  <c r="F65" i="9"/>
  <c r="L65" i="9"/>
  <c r="L66" i="9"/>
  <c r="J65" i="9"/>
  <c r="J66" i="9"/>
  <c r="D66" i="9"/>
  <c r="D64" i="9"/>
  <c r="I66" i="9"/>
  <c r="I64" i="9"/>
  <c r="I65" i="9"/>
  <c r="Q65" i="9"/>
  <c r="Q66" i="9"/>
  <c r="I68" i="9"/>
  <c r="Q68" i="9"/>
  <c r="M68" i="9"/>
  <c r="M64" i="9"/>
  <c r="M65" i="9"/>
  <c r="M35" i="9"/>
  <c r="M67" i="9"/>
  <c r="M66" i="9"/>
  <c r="R65" i="9"/>
  <c r="R68" i="9"/>
  <c r="R35" i="9"/>
  <c r="R64" i="9"/>
  <c r="R66" i="9"/>
  <c r="R67" i="9"/>
  <c r="F61" i="9"/>
  <c r="F59" i="9"/>
  <c r="F17" i="9"/>
  <c r="G7" i="9"/>
  <c r="F58" i="9"/>
  <c r="F60" i="9"/>
  <c r="F62" i="9"/>
  <c r="K67" i="9"/>
  <c r="K65" i="9"/>
  <c r="K35" i="9"/>
  <c r="K64" i="9"/>
  <c r="K66" i="9"/>
  <c r="K68" i="9"/>
  <c r="O67" i="9"/>
  <c r="O35" i="9"/>
  <c r="O64" i="9"/>
  <c r="O68" i="9"/>
  <c r="O65" i="9"/>
  <c r="O66" i="9"/>
  <c r="G67" i="9"/>
  <c r="G66" i="9"/>
  <c r="G64" i="9"/>
  <c r="G65" i="9"/>
  <c r="G68" i="9"/>
  <c r="G35" i="9"/>
  <c r="G17" i="9" l="1"/>
  <c r="G58" i="9"/>
  <c r="G62" i="9"/>
  <c r="G60" i="9"/>
  <c r="H7" i="9"/>
  <c r="G59" i="9"/>
  <c r="G61" i="9"/>
  <c r="I7" i="9" l="1"/>
  <c r="H59" i="9"/>
  <c r="H61" i="9"/>
  <c r="H62" i="9"/>
  <c r="H60" i="9"/>
  <c r="H17" i="9"/>
  <c r="H58" i="9"/>
  <c r="I60" i="9" l="1"/>
  <c r="J7" i="9"/>
  <c r="I62" i="9"/>
  <c r="I58" i="9"/>
  <c r="I59" i="9"/>
  <c r="I17" i="9"/>
  <c r="I61" i="9"/>
  <c r="J61" i="9" l="1"/>
  <c r="J17" i="9"/>
  <c r="J58" i="9"/>
  <c r="K7" i="9"/>
  <c r="J62" i="9"/>
  <c r="J59" i="9"/>
  <c r="J60" i="9"/>
  <c r="K17" i="9" l="1"/>
  <c r="K58" i="9"/>
  <c r="K62" i="9"/>
  <c r="K59" i="9"/>
  <c r="K60" i="9"/>
  <c r="K61" i="9"/>
  <c r="L7" i="9"/>
  <c r="M7" i="9" l="1"/>
  <c r="L59" i="9"/>
  <c r="L60" i="9"/>
  <c r="L17" i="9"/>
  <c r="L62" i="9"/>
  <c r="L58" i="9"/>
  <c r="L61" i="9"/>
  <c r="M60" i="9" l="1"/>
  <c r="M61" i="9"/>
  <c r="M58" i="9"/>
  <c r="M59" i="9"/>
  <c r="M62" i="9"/>
  <c r="N7" i="9"/>
  <c r="M17" i="9"/>
  <c r="N61" i="9" l="1"/>
  <c r="O7" i="9"/>
  <c r="N62" i="9"/>
  <c r="N17" i="9"/>
  <c r="N58" i="9"/>
  <c r="N59" i="9"/>
  <c r="N60" i="9"/>
  <c r="O17" i="9" l="1"/>
  <c r="O58" i="9"/>
  <c r="O62" i="9"/>
  <c r="P7" i="9"/>
  <c r="O60" i="9"/>
  <c r="O61" i="9"/>
  <c r="O59" i="9"/>
  <c r="Q7" i="9" l="1"/>
  <c r="P59" i="9"/>
  <c r="P17" i="9"/>
  <c r="P58" i="9"/>
  <c r="P62" i="9"/>
  <c r="P60" i="9"/>
  <c r="P61" i="9"/>
  <c r="Q60" i="9" l="1"/>
  <c r="Q59" i="9"/>
  <c r="Q17" i="9"/>
  <c r="R7" i="9"/>
  <c r="Q61" i="9"/>
  <c r="Q58" i="9"/>
  <c r="Q62" i="9"/>
  <c r="R61" i="9" l="1"/>
  <c r="R60" i="9"/>
  <c r="R59" i="9"/>
  <c r="R17" i="9"/>
  <c r="R62" i="9"/>
  <c r="R58" i="9"/>
</calcChain>
</file>

<file path=xl/sharedStrings.xml><?xml version="1.0" encoding="utf-8"?>
<sst xmlns="http://schemas.openxmlformats.org/spreadsheetml/2006/main" count="38" uniqueCount="37">
  <si>
    <t>Net Operating Income</t>
  </si>
  <si>
    <t>Year ending</t>
  </si>
  <si>
    <t>Cash Flow After Debt Service</t>
  </si>
  <si>
    <t>REFINANCE ANALYSIS</t>
  </si>
  <si>
    <t>Disposition Assumptions</t>
  </si>
  <si>
    <t>Terminal NOI Cap Rate</t>
  </si>
  <si>
    <t>Net Proceeds</t>
  </si>
  <si>
    <t>Debt Yield</t>
  </si>
  <si>
    <t>Refinance Assumptions</t>
  </si>
  <si>
    <t>Market LTV</t>
  </si>
  <si>
    <t>Loan Amount @ Market LTV</t>
  </si>
  <si>
    <t>Market NOI DSC</t>
  </si>
  <si>
    <t>Loan Amount @ Market NOI DSC</t>
  </si>
  <si>
    <t>Market Amortization</t>
  </si>
  <si>
    <t>Market Debt Yield</t>
  </si>
  <si>
    <t>Loan Amount @ Market Debt Yield</t>
  </si>
  <si>
    <t>Projected Loan Amount</t>
  </si>
  <si>
    <t>Existing Loan Balance</t>
  </si>
  <si>
    <t>Refinance Proceeds</t>
  </si>
  <si>
    <t>Refinance Sensitivity Analysis</t>
  </si>
  <si>
    <t>Reduction in NOI</t>
  </si>
  <si>
    <t>Level 1</t>
  </si>
  <si>
    <t>Level 2</t>
  </si>
  <si>
    <t>Level 3</t>
  </si>
  <si>
    <t>Level 4</t>
  </si>
  <si>
    <t>Level 5</t>
  </si>
  <si>
    <t>Base NOI</t>
  </si>
  <si>
    <t>Interest Rate Assumptions (Fixed Rate Refinance)</t>
  </si>
  <si>
    <t>10 Year Treasury</t>
  </si>
  <si>
    <t>Market Mortgage Interest Rate</t>
  </si>
  <si>
    <t>Spread Above Interpolated</t>
  </si>
  <si>
    <t>Net Disposition Value (3% selling cost)</t>
  </si>
  <si>
    <t>Risk Metrics</t>
  </si>
  <si>
    <t>Debt Service Coverage</t>
  </si>
  <si>
    <t>Loan to Value</t>
  </si>
  <si>
    <t>- Debt Service (No I/O)</t>
  </si>
  <si>
    <t>- Existing Loan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</si>
</sst>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 &quot;years&quot;"/>
    <numFmt numFmtId="165" formatCode="mm/dd/yy"/>
    <numFmt numFmtId="166" formatCode="&quot;$&quot;#,##0"/>
    <numFmt numFmtId="167" formatCode="#,###\ &quot;SF&quot;"/>
    <numFmt numFmtId="168" formatCode="&quot;Year&quot;\ 0"/>
    <numFmt numFmtId="169" formatCode="0.0%"/>
    <numFmt numFmtId="170" formatCode="General_)"/>
    <numFmt numFmtId="171" formatCode="0.00&quot;X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i/>
      <sz val="12"/>
      <color indexed="17"/>
      <name val="Calibri"/>
      <family val="2"/>
      <scheme val="minor"/>
    </font>
    <font>
      <i/>
      <sz val="12"/>
      <name val="Calibri"/>
      <family val="2"/>
      <scheme val="minor"/>
    </font>
    <font>
      <sz val="12"/>
      <color indexed="17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12"/>
      <color rgb="FF008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7" fontId="7" fillId="2" borderId="0" xfId="0" applyNumberFormat="1" applyFont="1" applyFill="1" applyBorder="1" applyAlignment="1" applyProtection="1">
      <alignment horizontal="center"/>
    </xf>
    <xf numFmtId="165" fontId="9" fillId="2" borderId="0" xfId="0" applyNumberFormat="1" applyFont="1" applyFill="1" applyBorder="1" applyAlignment="1" applyProtection="1">
      <alignment horizontal="center"/>
    </xf>
    <xf numFmtId="43" fontId="7" fillId="2" borderId="0" xfId="1" applyNumberFormat="1" applyFont="1" applyFill="1" applyBorder="1" applyAlignment="1" applyProtection="1">
      <alignment horizontal="center"/>
    </xf>
    <xf numFmtId="166" fontId="10" fillId="2" borderId="0" xfId="1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12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center"/>
    </xf>
    <xf numFmtId="167" fontId="7" fillId="4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right"/>
    </xf>
    <xf numFmtId="168" fontId="13" fillId="2" borderId="0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right"/>
    </xf>
    <xf numFmtId="15" fontId="5" fillId="2" borderId="1" xfId="0" applyNumberFormat="1" applyFont="1" applyFill="1" applyBorder="1" applyAlignment="1" applyProtection="1">
      <alignment horizontal="center"/>
    </xf>
    <xf numFmtId="15" fontId="6" fillId="2" borderId="1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right"/>
    </xf>
    <xf numFmtId="5" fontId="5" fillId="2" borderId="0" xfId="0" applyNumberFormat="1" applyFont="1" applyFill="1" applyBorder="1" applyAlignment="1" applyProtection="1">
      <alignment horizontal="center"/>
    </xf>
    <xf numFmtId="0" fontId="6" fillId="0" borderId="0" xfId="0" quotePrefix="1" applyFont="1" applyAlignment="1">
      <alignment horizontal="left" indent="2"/>
    </xf>
    <xf numFmtId="0" fontId="6" fillId="0" borderId="0" xfId="0" applyFont="1" applyAlignment="1">
      <alignment horizontal="left" indent="1"/>
    </xf>
    <xf numFmtId="5" fontId="14" fillId="0" borderId="0" xfId="0" applyNumberFormat="1" applyFont="1" applyAlignment="1">
      <alignment horizontal="center"/>
    </xf>
    <xf numFmtId="15" fontId="6" fillId="0" borderId="0" xfId="0" applyNumberFormat="1" applyFont="1" applyAlignment="1">
      <alignment horizontal="center"/>
    </xf>
    <xf numFmtId="0" fontId="2" fillId="0" borderId="7" xfId="0" applyFont="1" applyBorder="1"/>
    <xf numFmtId="0" fontId="6" fillId="0" borderId="7" xfId="0" applyFont="1" applyBorder="1" applyAlignment="1">
      <alignment horizontal="left" indent="1"/>
    </xf>
    <xf numFmtId="5" fontId="6" fillId="0" borderId="7" xfId="0" applyNumberFormat="1" applyFont="1" applyBorder="1" applyAlignment="1">
      <alignment horizontal="center"/>
    </xf>
    <xf numFmtId="0" fontId="6" fillId="0" borderId="0" xfId="0" applyFont="1" applyAlignment="1"/>
    <xf numFmtId="37" fontId="0" fillId="0" borderId="0" xfId="0" applyNumberFormat="1" applyFont="1" applyAlignment="1">
      <alignment horizontal="center"/>
    </xf>
    <xf numFmtId="0" fontId="0" fillId="0" borderId="0" xfId="0" applyFont="1"/>
    <xf numFmtId="3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indent="2"/>
    </xf>
    <xf numFmtId="10" fontId="6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0" fillId="0" borderId="0" xfId="0" applyFont="1" applyAlignment="1">
      <alignment horizontal="left" indent="1"/>
    </xf>
    <xf numFmtId="6" fontId="5" fillId="0" borderId="0" xfId="0" applyNumberFormat="1" applyFont="1" applyAlignment="1">
      <alignment horizontal="center"/>
    </xf>
    <xf numFmtId="6" fontId="6" fillId="0" borderId="0" xfId="0" applyNumberFormat="1" applyFont="1" applyAlignment="1">
      <alignment horizontal="center"/>
    </xf>
    <xf numFmtId="0" fontId="0" fillId="0" borderId="0" xfId="0" quotePrefix="1" applyFont="1" applyAlignment="1">
      <alignment horizontal="left" indent="2"/>
    </xf>
    <xf numFmtId="0" fontId="0" fillId="0" borderId="7" xfId="0" applyFont="1" applyBorder="1" applyAlignment="1">
      <alignment horizontal="left" indent="1"/>
    </xf>
    <xf numFmtId="6" fontId="0" fillId="0" borderId="7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indent="2"/>
    </xf>
    <xf numFmtId="0" fontId="0" fillId="0" borderId="0" xfId="0" applyFont="1" applyBorder="1"/>
    <xf numFmtId="6" fontId="0" fillId="0" borderId="0" xfId="0" applyNumberFormat="1" applyFont="1" applyBorder="1" applyAlignment="1">
      <alignment horizontal="center"/>
    </xf>
    <xf numFmtId="171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0" fontId="0" fillId="0" borderId="7" xfId="0" applyFont="1" applyBorder="1" applyAlignment="1">
      <alignment horizontal="left" indent="2"/>
    </xf>
    <xf numFmtId="10" fontId="6" fillId="0" borderId="7" xfId="0" applyNumberFormat="1" applyFont="1" applyBorder="1" applyAlignment="1">
      <alignment horizontal="center"/>
    </xf>
    <xf numFmtId="10" fontId="0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6" fontId="15" fillId="0" borderId="0" xfId="0" applyNumberFormat="1" applyFont="1" applyAlignment="1">
      <alignment horizontal="center"/>
    </xf>
    <xf numFmtId="0" fontId="0" fillId="0" borderId="7" xfId="0" applyFont="1" applyBorder="1"/>
    <xf numFmtId="5" fontId="6" fillId="0" borderId="0" xfId="0" applyNumberFormat="1" applyFont="1" applyBorder="1" applyAlignment="1">
      <alignment horizontal="center"/>
    </xf>
    <xf numFmtId="0" fontId="2" fillId="0" borderId="0" xfId="0" applyFont="1" applyFill="1"/>
    <xf numFmtId="0" fontId="0" fillId="0" borderId="0" xfId="0" applyFont="1" applyFill="1"/>
    <xf numFmtId="37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indent="2"/>
    </xf>
    <xf numFmtId="10" fontId="5" fillId="0" borderId="0" xfId="0" applyNumberFormat="1" applyFont="1" applyFill="1" applyAlignment="1">
      <alignment horizontal="center"/>
    </xf>
    <xf numFmtId="10" fontId="14" fillId="0" borderId="0" xfId="0" applyNumberFormat="1" applyFont="1" applyFill="1" applyAlignment="1">
      <alignment horizontal="center"/>
    </xf>
    <xf numFmtId="10" fontId="15" fillId="0" borderId="0" xfId="0" applyNumberFormat="1" applyFont="1" applyFill="1" applyAlignment="1">
      <alignment horizontal="center"/>
    </xf>
    <xf numFmtId="0" fontId="0" fillId="0" borderId="7" xfId="0" applyFont="1" applyFill="1" applyBorder="1" applyAlignment="1">
      <alignment horizontal="left" indent="2"/>
    </xf>
    <xf numFmtId="0" fontId="0" fillId="0" borderId="7" xfId="0" applyFont="1" applyFill="1" applyBorder="1"/>
    <xf numFmtId="10" fontId="0" fillId="0" borderId="7" xfId="0" applyNumberFormat="1" applyFont="1" applyFill="1" applyBorder="1" applyAlignment="1">
      <alignment horizontal="center"/>
    </xf>
    <xf numFmtId="0" fontId="2" fillId="3" borderId="0" xfId="0" applyFont="1" applyFill="1"/>
    <xf numFmtId="0" fontId="0" fillId="3" borderId="0" xfId="0" applyFont="1" applyFill="1"/>
    <xf numFmtId="37" fontId="0" fillId="3" borderId="2" xfId="0" applyNumberFormat="1" applyFont="1" applyFill="1" applyBorder="1" applyAlignment="1">
      <alignment horizontal="center"/>
    </xf>
    <xf numFmtId="37" fontId="0" fillId="3" borderId="3" xfId="0" applyNumberFormat="1" applyFont="1" applyFill="1" applyBorder="1" applyAlignment="1">
      <alignment horizontal="center"/>
    </xf>
    <xf numFmtId="37" fontId="0" fillId="3" borderId="4" xfId="0" applyNumberFormat="1" applyFont="1" applyFill="1" applyBorder="1" applyAlignment="1">
      <alignment horizontal="center"/>
    </xf>
    <xf numFmtId="37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left" indent="2"/>
    </xf>
    <xf numFmtId="10" fontId="6" fillId="3" borderId="5" xfId="0" applyNumberFormat="1" applyFont="1" applyFill="1" applyBorder="1" applyAlignment="1">
      <alignment horizontal="right"/>
    </xf>
    <xf numFmtId="169" fontId="5" fillId="3" borderId="1" xfId="0" applyNumberFormat="1" applyFont="1" applyFill="1" applyBorder="1" applyAlignment="1">
      <alignment horizontal="center"/>
    </xf>
    <xf numFmtId="169" fontId="5" fillId="3" borderId="6" xfId="0" applyNumberFormat="1" applyFont="1" applyFill="1" applyBorder="1" applyAlignment="1">
      <alignment horizontal="center"/>
    </xf>
    <xf numFmtId="10" fontId="6" fillId="3" borderId="0" xfId="0" applyNumberFormat="1" applyFont="1" applyFill="1" applyAlignment="1">
      <alignment horizontal="center"/>
    </xf>
    <xf numFmtId="5" fontId="6" fillId="3" borderId="0" xfId="0" applyNumberFormat="1" applyFont="1" applyFill="1" applyAlignment="1">
      <alignment horizontal="center"/>
    </xf>
    <xf numFmtId="169" fontId="16" fillId="0" borderId="0" xfId="0" applyNumberFormat="1" applyFont="1"/>
    <xf numFmtId="0" fontId="0" fillId="3" borderId="0" xfId="0" applyFont="1" applyFill="1" applyAlignment="1">
      <alignment horizontal="center"/>
    </xf>
    <xf numFmtId="6" fontId="6" fillId="3" borderId="0" xfId="0" applyNumberFormat="1" applyFont="1" applyFill="1" applyAlignment="1">
      <alignment horizontal="center"/>
    </xf>
    <xf numFmtId="171" fontId="6" fillId="3" borderId="0" xfId="0" applyNumberFormat="1" applyFont="1" applyFill="1" applyAlignment="1">
      <alignment horizontal="center"/>
    </xf>
    <xf numFmtId="168" fontId="15" fillId="3" borderId="0" xfId="0" applyNumberFormat="1" applyFont="1" applyFill="1" applyBorder="1" applyAlignment="1">
      <alignment horizontal="center"/>
    </xf>
  </cellXfs>
  <cellStyles count="7">
    <cellStyle name="Comma" xfId="1" builtinId="3"/>
    <cellStyle name="Comma 2" xfId="4"/>
    <cellStyle name="Currency 2" xfId="6"/>
    <cellStyle name="Normal" xfId="0" builtinId="0"/>
    <cellStyle name="Normal 2" xfId="3"/>
    <cellStyle name="Normal 4" xfId="2"/>
    <cellStyle name="Percent 2" xf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EEEC92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fficeStoc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al%20Estate/individuals/EAST/Deals/Active/The%20Sagamore%20Apartments/1.0%20Appraisal/ARC%20Merrill%20Lynch%20MHP%2006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BMDM/View/1d6d61c/Toolki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iceStock"/>
      <sheetName val="Inputs"/>
      <sheetName val="SFC"/>
      <sheetName val="rents"/>
      <sheetName val="Bldg. Sales Grid"/>
      <sheetName val="Sales"/>
      <sheetName val="Sheet1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w Data Fields"/>
      <sheetName val="Inputs"/>
      <sheetName val="Methodology"/>
      <sheetName val="RevSel"/>
      <sheetName val="ExpSel"/>
      <sheetName val="ARC Property List"/>
      <sheetName val="Values"/>
      <sheetName val="SFC"/>
      <sheetName val="Intro"/>
      <sheetName val="Restricted"/>
      <sheetName val="Survey Results"/>
      <sheetName val="Exposure"/>
      <sheetName val="Area"/>
      <sheetName val="Demos"/>
      <sheetName val="MktStdy"/>
      <sheetName val="MktStdyRents"/>
      <sheetName val="Zoning"/>
      <sheetName val="Site"/>
      <sheetName val="Improv"/>
      <sheetName val="ImpAnalysis"/>
      <sheetName val="Tax"/>
      <sheetName val="TaxAssum"/>
      <sheetName val="Tax Comps"/>
      <sheetName val="L Sum"/>
      <sheetName val="L Grid"/>
      <sheetName val="L Sum (2)"/>
      <sheetName val="L Grid (2)"/>
      <sheetName val="Ins Val (2)"/>
      <sheetName val="Cost"/>
      <sheetName val="Cost_Comps"/>
      <sheetName val="Ins Val"/>
      <sheetName val="LUD"/>
      <sheetName val="IS_Sum"/>
      <sheetName val="IS Grid"/>
      <sheetName val="IS Concl"/>
      <sheetName val="Rent Sum"/>
      <sheetName val="Comp. Rents"/>
      <sheetName val="Mkt Rent-Pads"/>
      <sheetName val="Mkt Rent-Rental Units"/>
      <sheetName val="ARC Financials"/>
      <sheetName val="Op History"/>
      <sheetName val="OpHistDial"/>
      <sheetName val="Exp Comps"/>
      <sheetName val="Exp Charts"/>
      <sheetName val="ExpChartDial"/>
      <sheetName val="Cap Rates"/>
      <sheetName val="Dir Cap"/>
      <sheetName val="DirCapDial"/>
      <sheetName val="DCF Assum"/>
      <sheetName val="APT DCF"/>
      <sheetName val="DCF Dial"/>
      <sheetName val="Key Assumptions"/>
      <sheetName val="Int Rev"/>
      <sheetName val="Job Center"/>
      <sheetName val="Macros"/>
      <sheetName val="OfficeSt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s"/>
      <sheetName val="Loan"/>
      <sheetName val="Income"/>
      <sheetName val="Inctype"/>
      <sheetName val="Credit"/>
      <sheetName val="Rating"/>
      <sheetName val="Risk"/>
      <sheetName val="Amort"/>
      <sheetName val="Borrower"/>
      <sheetName val="Rent roll"/>
      <sheetName val="Retail Tenants"/>
      <sheetName val="Rent data"/>
      <sheetName val="DCF"/>
      <sheetName val="Bldgs"/>
      <sheetName val="Const"/>
      <sheetName val="New Inv"/>
      <sheetName val="Stress Tests"/>
      <sheetName val="Sizing"/>
      <sheetName val="Checklist"/>
      <sheetName val="Yield"/>
      <sheetName val="Cost"/>
      <sheetName val="Equity"/>
      <sheetName val="Terms"/>
      <sheetName val="Spreads"/>
      <sheetName val="ACLI"/>
      <sheetName val="Committee"/>
      <sheetName val="Committee Lookups"/>
      <sheetName val="Utilities"/>
      <sheetName val="Toolkit"/>
      <sheetName val=""/>
    </sheetNames>
    <sheetDataSet>
      <sheetData sheetId="0" refreshError="1"/>
      <sheetData sheetId="1">
        <row r="1">
          <cell r="J1" t="str">
            <v>(Loan number)</v>
          </cell>
        </row>
        <row r="8">
          <cell r="J8">
            <v>20000000</v>
          </cell>
        </row>
        <row r="33">
          <cell r="J33">
            <v>67416908.811349273</v>
          </cell>
        </row>
      </sheetData>
      <sheetData sheetId="2">
        <row r="13">
          <cell r="E13">
            <v>299995</v>
          </cell>
        </row>
      </sheetData>
      <sheetData sheetId="3" refreshError="1"/>
      <sheetData sheetId="4">
        <row r="18">
          <cell r="K18">
            <v>3876472.2566525848</v>
          </cell>
        </row>
      </sheetData>
      <sheetData sheetId="5">
        <row r="6">
          <cell r="G6" t="str">
            <v>Budget</v>
          </cell>
        </row>
      </sheetData>
      <sheetData sheetId="6">
        <row r="51">
          <cell r="A51">
            <v>4</v>
          </cell>
        </row>
      </sheetData>
      <sheetData sheetId="7" refreshError="1"/>
      <sheetData sheetId="8">
        <row r="7">
          <cell r="A7" t="str">
            <v>(Borrower legal name)</v>
          </cell>
        </row>
      </sheetData>
      <sheetData sheetId="9" refreshError="1"/>
      <sheetData sheetId="10" refreshError="1"/>
      <sheetData sheetId="11" refreshError="1"/>
      <sheetData sheetId="12">
        <row r="11">
          <cell r="C11">
            <v>10</v>
          </cell>
        </row>
      </sheetData>
      <sheetData sheetId="13" refreshError="1"/>
      <sheetData sheetId="14">
        <row r="7">
          <cell r="I7">
            <v>20000000</v>
          </cell>
        </row>
      </sheetData>
      <sheetData sheetId="15">
        <row r="10">
          <cell r="I10" t="str">
            <v>No sale restrictions</v>
          </cell>
        </row>
      </sheetData>
      <sheetData sheetId="16" refreshError="1"/>
      <sheetData sheetId="17" refreshError="1"/>
      <sheetData sheetId="18" refreshError="1"/>
      <sheetData sheetId="19">
        <row r="10">
          <cell r="J10">
            <v>9.0044000000000004</v>
          </cell>
        </row>
      </sheetData>
      <sheetData sheetId="20" refreshError="1"/>
      <sheetData sheetId="21">
        <row r="8">
          <cell r="J8">
            <v>20000000</v>
          </cell>
        </row>
      </sheetData>
      <sheetData sheetId="22">
        <row r="19">
          <cell r="D19">
            <v>36412</v>
          </cell>
        </row>
      </sheetData>
      <sheetData sheetId="23">
        <row r="6">
          <cell r="AN6" t="str">
            <v>Office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  <pageSetUpPr fitToPage="1"/>
  </sheetPr>
  <dimension ref="A1:GH80"/>
  <sheetViews>
    <sheetView showGridLines="0" tabSelected="1" zoomScale="80" zoomScaleNormal="80" workbookViewId="0">
      <selection activeCell="D8" sqref="D8"/>
    </sheetView>
  </sheetViews>
  <sheetFormatPr defaultColWidth="0" defaultRowHeight="14.4" zeroHeight="1" outlineLevelRow="1" x14ac:dyDescent="0.3"/>
  <cols>
    <col min="1" max="1" width="1.77734375" style="10" customWidth="1"/>
    <col min="2" max="2" width="35.21875" style="33" customWidth="1"/>
    <col min="3" max="3" width="12.77734375" style="33" bestFit="1" customWidth="1"/>
    <col min="4" max="4" width="17.21875" style="32" bestFit="1" customWidth="1"/>
    <col min="5" max="16" width="12.77734375" style="32" bestFit="1" customWidth="1"/>
    <col min="17" max="17" width="12.77734375" style="32" customWidth="1"/>
    <col min="18" max="18" width="12.77734375" style="32" bestFit="1" customWidth="1"/>
    <col min="19" max="19" width="1.77734375" style="10" customWidth="1"/>
    <col min="20" max="24" width="11" style="10" hidden="1" customWidth="1"/>
    <col min="25" max="25" width="21.33203125" style="10" hidden="1" customWidth="1"/>
    <col min="26" max="190" width="11" style="10" hidden="1" customWidth="1"/>
    <col min="191" max="16384" width="8.88671875" style="10" hidden="1"/>
  </cols>
  <sheetData>
    <row r="1" spans="2:190" ht="4.95" customHeight="1" x14ac:dyDescent="0.3">
      <c r="B1" s="2"/>
      <c r="C1" s="2"/>
      <c r="D1" s="3"/>
      <c r="E1" s="3"/>
      <c r="F1" s="3"/>
      <c r="G1" s="3"/>
      <c r="H1" s="3"/>
      <c r="I1" s="3"/>
      <c r="J1" s="3"/>
      <c r="K1" s="3"/>
      <c r="L1" s="4"/>
      <c r="M1" s="4"/>
      <c r="N1" s="5"/>
      <c r="O1" s="5"/>
      <c r="P1" s="5"/>
      <c r="Q1" s="5"/>
      <c r="R1" s="5"/>
      <c r="S1" s="5"/>
      <c r="T1" s="3"/>
      <c r="U1" s="6"/>
      <c r="V1" s="7"/>
      <c r="W1" s="8"/>
      <c r="X1" s="8"/>
      <c r="Y1" s="9"/>
    </row>
    <row r="2" spans="2:190" ht="18" x14ac:dyDescent="0.35">
      <c r="B2" s="11" t="s">
        <v>3</v>
      </c>
      <c r="C2" s="12"/>
      <c r="D2" s="13"/>
      <c r="E2" s="13"/>
      <c r="F2" s="13"/>
      <c r="G2" s="13"/>
      <c r="H2" s="13"/>
      <c r="I2" s="13"/>
      <c r="J2" s="13"/>
      <c r="K2" s="13"/>
      <c r="L2" s="14"/>
      <c r="M2" s="14"/>
      <c r="N2" s="15"/>
      <c r="O2" s="15"/>
      <c r="P2" s="15"/>
      <c r="Q2" s="15"/>
      <c r="R2" s="15"/>
      <c r="S2" s="5"/>
      <c r="T2" s="3"/>
      <c r="U2" s="6"/>
      <c r="V2" s="7"/>
      <c r="W2" s="8"/>
      <c r="X2" s="8"/>
      <c r="Y2" s="9"/>
    </row>
    <row r="3" spans="2:190" ht="4.95" customHeight="1" outlineLevel="1" x14ac:dyDescent="0.3">
      <c r="B3" s="16"/>
      <c r="C3" s="2"/>
      <c r="D3" s="3"/>
      <c r="E3" s="3"/>
      <c r="F3" s="3"/>
      <c r="G3" s="3"/>
      <c r="H3" s="3"/>
      <c r="I3" s="3"/>
      <c r="J3" s="3"/>
      <c r="K3" s="3"/>
      <c r="L3" s="4"/>
      <c r="M3" s="4"/>
      <c r="N3" s="5"/>
      <c r="O3" s="5"/>
      <c r="P3" s="5"/>
      <c r="Q3" s="5"/>
      <c r="R3" s="5"/>
      <c r="S3" s="5"/>
      <c r="T3" s="3"/>
      <c r="U3" s="6"/>
      <c r="V3" s="7"/>
      <c r="W3" s="8"/>
      <c r="X3" s="8"/>
      <c r="Y3" s="9"/>
    </row>
    <row r="4" spans="2:190" ht="15.6" outlineLevel="1" x14ac:dyDescent="0.3">
      <c r="B4" s="17" t="s">
        <v>1</v>
      </c>
      <c r="C4" s="18">
        <v>0</v>
      </c>
      <c r="D4" s="18">
        <v>1</v>
      </c>
      <c r="E4" s="18">
        <f>D4+1</f>
        <v>2</v>
      </c>
      <c r="F4" s="18">
        <f t="shared" ref="F4:R4" si="0">E4+1</f>
        <v>3</v>
      </c>
      <c r="G4" s="18">
        <f t="shared" si="0"/>
        <v>4</v>
      </c>
      <c r="H4" s="18">
        <f>G4+1</f>
        <v>5</v>
      </c>
      <c r="I4" s="18">
        <f t="shared" si="0"/>
        <v>6</v>
      </c>
      <c r="J4" s="18">
        <f t="shared" si="0"/>
        <v>7</v>
      </c>
      <c r="K4" s="18">
        <f t="shared" si="0"/>
        <v>8</v>
      </c>
      <c r="L4" s="18">
        <f t="shared" si="0"/>
        <v>9</v>
      </c>
      <c r="M4" s="18">
        <f t="shared" si="0"/>
        <v>10</v>
      </c>
      <c r="N4" s="18">
        <f t="shared" si="0"/>
        <v>11</v>
      </c>
      <c r="O4" s="18">
        <f t="shared" si="0"/>
        <v>12</v>
      </c>
      <c r="P4" s="18">
        <f t="shared" si="0"/>
        <v>13</v>
      </c>
      <c r="Q4" s="18">
        <f t="shared" si="0"/>
        <v>14</v>
      </c>
      <c r="R4" s="18">
        <f t="shared" si="0"/>
        <v>15</v>
      </c>
      <c r="S4" s="5"/>
      <c r="T4" s="3"/>
      <c r="U4" s="6"/>
      <c r="V4" s="7"/>
      <c r="W4" s="8"/>
      <c r="X4" s="8"/>
      <c r="Y4" s="9"/>
    </row>
    <row r="5" spans="2:190" ht="15.6" outlineLevel="1" x14ac:dyDescent="0.3">
      <c r="B5" s="19"/>
      <c r="C5" s="20">
        <v>42735</v>
      </c>
      <c r="D5" s="21">
        <f>EDATE(C5,12)</f>
        <v>43100</v>
      </c>
      <c r="E5" s="21">
        <f>EDATE(D5,12)</f>
        <v>43465</v>
      </c>
      <c r="F5" s="21">
        <f t="shared" ref="F5:R5" si="1">EDATE(E5,12)</f>
        <v>43830</v>
      </c>
      <c r="G5" s="21">
        <f t="shared" si="1"/>
        <v>44196</v>
      </c>
      <c r="H5" s="21">
        <f t="shared" si="1"/>
        <v>44561</v>
      </c>
      <c r="I5" s="21">
        <f t="shared" si="1"/>
        <v>44926</v>
      </c>
      <c r="J5" s="21">
        <f t="shared" si="1"/>
        <v>45291</v>
      </c>
      <c r="K5" s="21">
        <f t="shared" si="1"/>
        <v>45657</v>
      </c>
      <c r="L5" s="21">
        <f t="shared" si="1"/>
        <v>46022</v>
      </c>
      <c r="M5" s="21">
        <f t="shared" si="1"/>
        <v>46387</v>
      </c>
      <c r="N5" s="21">
        <f t="shared" si="1"/>
        <v>46752</v>
      </c>
      <c r="O5" s="21">
        <f t="shared" si="1"/>
        <v>47118</v>
      </c>
      <c r="P5" s="21">
        <f t="shared" si="1"/>
        <v>47483</v>
      </c>
      <c r="Q5" s="21">
        <f t="shared" si="1"/>
        <v>47848</v>
      </c>
      <c r="R5" s="21">
        <f t="shared" si="1"/>
        <v>48213</v>
      </c>
      <c r="S5" s="5"/>
      <c r="T5" s="3"/>
      <c r="U5" s="6"/>
      <c r="V5" s="7"/>
      <c r="W5" s="8"/>
      <c r="X5" s="8"/>
      <c r="Y5" s="9"/>
    </row>
    <row r="6" spans="2:190" ht="15.6" outlineLevel="1" x14ac:dyDescent="0.3">
      <c r="B6" s="1" t="s">
        <v>0</v>
      </c>
      <c r="C6" s="22"/>
      <c r="D6" s="23">
        <v>500000</v>
      </c>
      <c r="E6" s="23">
        <f>D6*1.02</f>
        <v>510000</v>
      </c>
      <c r="F6" s="23">
        <f t="shared" ref="F6:R6" si="2">E6*1.02</f>
        <v>520200</v>
      </c>
      <c r="G6" s="23">
        <f t="shared" si="2"/>
        <v>530604</v>
      </c>
      <c r="H6" s="23">
        <f t="shared" si="2"/>
        <v>541216.07999999996</v>
      </c>
      <c r="I6" s="23">
        <f t="shared" si="2"/>
        <v>552040.40159999998</v>
      </c>
      <c r="J6" s="23">
        <f t="shared" si="2"/>
        <v>563081.20963199995</v>
      </c>
      <c r="K6" s="23">
        <f t="shared" si="2"/>
        <v>574342.83382463991</v>
      </c>
      <c r="L6" s="23">
        <f t="shared" si="2"/>
        <v>585829.69050113275</v>
      </c>
      <c r="M6" s="23">
        <f t="shared" si="2"/>
        <v>597546.28431115544</v>
      </c>
      <c r="N6" s="23">
        <f t="shared" si="2"/>
        <v>609497.20999737852</v>
      </c>
      <c r="O6" s="23">
        <f t="shared" si="2"/>
        <v>621687.15419732605</v>
      </c>
      <c r="P6" s="23">
        <f t="shared" si="2"/>
        <v>634120.89728127257</v>
      </c>
      <c r="Q6" s="23">
        <f t="shared" si="2"/>
        <v>646803.31522689806</v>
      </c>
      <c r="R6" s="23">
        <f t="shared" si="2"/>
        <v>659739.381531436</v>
      </c>
      <c r="S6" s="5"/>
      <c r="T6" s="3"/>
      <c r="U6" s="6"/>
      <c r="V6" s="7"/>
      <c r="W6" s="8"/>
      <c r="X6" s="8"/>
      <c r="Y6" s="9"/>
    </row>
    <row r="7" spans="2:190" outlineLevel="1" x14ac:dyDescent="0.3">
      <c r="B7" s="24" t="s">
        <v>35</v>
      </c>
      <c r="C7" s="25"/>
      <c r="D7" s="26">
        <f>-PMT($D$25/12,360,C13)*12</f>
        <v>402910.56466775114</v>
      </c>
      <c r="E7" s="26">
        <f>D7</f>
        <v>402910.56466775114</v>
      </c>
      <c r="F7" s="26">
        <f t="shared" ref="F7:R7" si="3">E7</f>
        <v>402910.56466775114</v>
      </c>
      <c r="G7" s="26">
        <f t="shared" si="3"/>
        <v>402910.56466775114</v>
      </c>
      <c r="H7" s="26">
        <f t="shared" si="3"/>
        <v>402910.56466775114</v>
      </c>
      <c r="I7" s="26">
        <f t="shared" si="3"/>
        <v>402910.56466775114</v>
      </c>
      <c r="J7" s="26">
        <f t="shared" si="3"/>
        <v>402910.56466775114</v>
      </c>
      <c r="K7" s="26">
        <f t="shared" si="3"/>
        <v>402910.56466775114</v>
      </c>
      <c r="L7" s="26">
        <f t="shared" si="3"/>
        <v>402910.56466775114</v>
      </c>
      <c r="M7" s="26">
        <f t="shared" si="3"/>
        <v>402910.56466775114</v>
      </c>
      <c r="N7" s="26">
        <f t="shared" si="3"/>
        <v>402910.56466775114</v>
      </c>
      <c r="O7" s="26">
        <f t="shared" si="3"/>
        <v>402910.56466775114</v>
      </c>
      <c r="P7" s="26">
        <f t="shared" si="3"/>
        <v>402910.56466775114</v>
      </c>
      <c r="Q7" s="26">
        <f t="shared" si="3"/>
        <v>402910.56466775114</v>
      </c>
      <c r="R7" s="26">
        <f t="shared" si="3"/>
        <v>402910.56466775114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</row>
    <row r="8" spans="2:190" outlineLevel="1" x14ac:dyDescent="0.3">
      <c r="B8" s="28" t="s">
        <v>2</v>
      </c>
      <c r="C8" s="29"/>
      <c r="D8" s="30">
        <f>D6-D7</f>
        <v>97089.435332248861</v>
      </c>
      <c r="E8" s="30">
        <f t="shared" ref="E8:R8" si="4">E6-E7</f>
        <v>107089.43533224886</v>
      </c>
      <c r="F8" s="30">
        <f t="shared" si="4"/>
        <v>117289.43533224886</v>
      </c>
      <c r="G8" s="30">
        <f t="shared" si="4"/>
        <v>127693.43533224886</v>
      </c>
      <c r="H8" s="30">
        <f t="shared" si="4"/>
        <v>138305.51533224882</v>
      </c>
      <c r="I8" s="30">
        <f t="shared" si="4"/>
        <v>149129.83693224884</v>
      </c>
      <c r="J8" s="30">
        <f t="shared" si="4"/>
        <v>160170.64496424882</v>
      </c>
      <c r="K8" s="30">
        <f t="shared" si="4"/>
        <v>171432.26915688877</v>
      </c>
      <c r="L8" s="30">
        <f t="shared" si="4"/>
        <v>182919.12583338161</v>
      </c>
      <c r="M8" s="30">
        <f t="shared" si="4"/>
        <v>194635.7196434043</v>
      </c>
      <c r="N8" s="30">
        <f t="shared" si="4"/>
        <v>206586.64532962738</v>
      </c>
      <c r="O8" s="30">
        <f t="shared" si="4"/>
        <v>218776.58952957491</v>
      </c>
      <c r="P8" s="30">
        <f t="shared" si="4"/>
        <v>231210.33261352143</v>
      </c>
      <c r="Q8" s="30">
        <f t="shared" si="4"/>
        <v>243892.75055914692</v>
      </c>
      <c r="R8" s="30">
        <f t="shared" si="4"/>
        <v>256828.81686368486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</row>
    <row r="9" spans="2:190" ht="4.95" customHeight="1" outlineLevel="1" x14ac:dyDescent="0.3">
      <c r="B9" s="31"/>
      <c r="C9" s="31"/>
    </row>
    <row r="10" spans="2:190" outlineLevel="1" x14ac:dyDescent="0.3">
      <c r="B10" s="1" t="s">
        <v>4</v>
      </c>
      <c r="F10" s="34"/>
    </row>
    <row r="11" spans="2:190" outlineLevel="1" x14ac:dyDescent="0.3">
      <c r="B11" s="35" t="s">
        <v>5</v>
      </c>
      <c r="C11" s="36">
        <f>D6/C12</f>
        <v>4.405286343612335E-2</v>
      </c>
      <c r="D11" s="37">
        <v>4.4999999999999998E-2</v>
      </c>
      <c r="E11" s="37">
        <f>D11+0.0375%</f>
        <v>4.5374999999999999E-2</v>
      </c>
      <c r="F11" s="37">
        <f t="shared" ref="F11:R11" si="5">E11+0.0375%</f>
        <v>4.5749999999999999E-2</v>
      </c>
      <c r="G11" s="37">
        <f t="shared" si="5"/>
        <v>4.6124999999999999E-2</v>
      </c>
      <c r="H11" s="37">
        <f t="shared" si="5"/>
        <v>4.65E-2</v>
      </c>
      <c r="I11" s="37">
        <f t="shared" si="5"/>
        <v>4.6875E-2</v>
      </c>
      <c r="J11" s="37">
        <f t="shared" si="5"/>
        <v>4.725E-2</v>
      </c>
      <c r="K11" s="37">
        <f t="shared" si="5"/>
        <v>4.7625000000000001E-2</v>
      </c>
      <c r="L11" s="37">
        <f t="shared" si="5"/>
        <v>4.8000000000000001E-2</v>
      </c>
      <c r="M11" s="37">
        <f t="shared" si="5"/>
        <v>4.8375000000000001E-2</v>
      </c>
      <c r="N11" s="37">
        <f t="shared" si="5"/>
        <v>4.8750000000000002E-2</v>
      </c>
      <c r="O11" s="37">
        <f t="shared" si="5"/>
        <v>4.9125000000000002E-2</v>
      </c>
      <c r="P11" s="37">
        <f t="shared" si="5"/>
        <v>4.9500000000000002E-2</v>
      </c>
      <c r="Q11" s="37">
        <f t="shared" si="5"/>
        <v>4.9875000000000003E-2</v>
      </c>
      <c r="R11" s="37">
        <f t="shared" si="5"/>
        <v>5.0250000000000003E-2</v>
      </c>
    </row>
    <row r="12" spans="2:190" outlineLevel="1" x14ac:dyDescent="0.3">
      <c r="B12" s="38" t="s">
        <v>31</v>
      </c>
      <c r="C12" s="39">
        <v>11350000</v>
      </c>
      <c r="D12" s="40">
        <f>MAX(D6:E6)/D11*(0.97)</f>
        <v>10993333.333333334</v>
      </c>
      <c r="E12" s="40">
        <f t="shared" ref="E12:R12" si="6">MAX(E6:F6)/E11*(0.97)</f>
        <v>11120528.925619833</v>
      </c>
      <c r="F12" s="40">
        <f t="shared" si="6"/>
        <v>11249964.590163933</v>
      </c>
      <c r="G12" s="40">
        <f t="shared" si="6"/>
        <v>11381671.492682926</v>
      </c>
      <c r="H12" s="40">
        <f t="shared" si="6"/>
        <v>11515681.495741935</v>
      </c>
      <c r="I12" s="40">
        <f t="shared" si="6"/>
        <v>11652027.164651519</v>
      </c>
      <c r="J12" s="40">
        <f t="shared" si="6"/>
        <v>11790741.773754513</v>
      </c>
      <c r="K12" s="40">
        <f t="shared" si="6"/>
        <v>11931859.313093936</v>
      </c>
      <c r="L12" s="40">
        <f t="shared" si="6"/>
        <v>12075414.4954546</v>
      </c>
      <c r="M12" s="40">
        <f t="shared" si="6"/>
        <v>12221442.763771724</v>
      </c>
      <c r="N12" s="40">
        <f t="shared" si="6"/>
        <v>12369980.298900642</v>
      </c>
      <c r="O12" s="40">
        <f t="shared" si="6"/>
        <v>12521064.027742175</v>
      </c>
      <c r="P12" s="40">
        <f t="shared" si="6"/>
        <v>12674731.631719012</v>
      </c>
      <c r="Q12" s="40">
        <f t="shared" si="6"/>
        <v>12831021.555598855</v>
      </c>
      <c r="R12" s="40">
        <f t="shared" si="6"/>
        <v>12735267.663392894</v>
      </c>
    </row>
    <row r="13" spans="2:190" outlineLevel="1" x14ac:dyDescent="0.3">
      <c r="B13" s="41" t="s">
        <v>36</v>
      </c>
      <c r="C13" s="26">
        <v>7250000</v>
      </c>
      <c r="D13" s="26">
        <f>PV($D$25/12,360-(12*D4),-$D$7/12)</f>
        <v>7116688.63563924</v>
      </c>
      <c r="E13" s="26">
        <f t="shared" ref="E13:R13" si="7">PV($D$25/12,360-(12*E4),-$D$7/12)</f>
        <v>6978291.2704149988</v>
      </c>
      <c r="F13" s="26">
        <f t="shared" si="7"/>
        <v>6834613.8668204201</v>
      </c>
      <c r="G13" s="26">
        <f t="shared" si="7"/>
        <v>6685454.9845669083</v>
      </c>
      <c r="H13" s="26">
        <f t="shared" si="7"/>
        <v>6530605.4981584707</v>
      </c>
      <c r="I13" s="26">
        <f t="shared" si="7"/>
        <v>6369848.3036911534</v>
      </c>
      <c r="J13" s="26">
        <f t="shared" si="7"/>
        <v>6202958.0144664338</v>
      </c>
      <c r="K13" s="26">
        <f t="shared" si="7"/>
        <v>6029700.6449919166</v>
      </c>
      <c r="L13" s="26">
        <f t="shared" si="7"/>
        <v>5849833.2829262372</v>
      </c>
      <c r="M13" s="26">
        <f t="shared" si="7"/>
        <v>5663103.7485082177</v>
      </c>
      <c r="N13" s="26">
        <f t="shared" si="7"/>
        <v>5469250.240992846</v>
      </c>
      <c r="O13" s="26">
        <f t="shared" si="7"/>
        <v>5268000.9715982843</v>
      </c>
      <c r="P13" s="26">
        <f t="shared" si="7"/>
        <v>5059073.7824493712</v>
      </c>
      <c r="Q13" s="26">
        <f t="shared" si="7"/>
        <v>4842175.7509832969</v>
      </c>
      <c r="R13" s="26">
        <f t="shared" si="7"/>
        <v>4617002.7792628659</v>
      </c>
    </row>
    <row r="14" spans="2:190" outlineLevel="1" x14ac:dyDescent="0.3">
      <c r="B14" s="42" t="s">
        <v>6</v>
      </c>
      <c r="C14" s="43">
        <f>C12-C13</f>
        <v>4100000</v>
      </c>
      <c r="D14" s="43">
        <f t="shared" ref="D14:R14" si="8">D12-D13</f>
        <v>3876644.6976940939</v>
      </c>
      <c r="E14" s="43">
        <f t="shared" si="8"/>
        <v>4142237.6552048344</v>
      </c>
      <c r="F14" s="43">
        <f t="shared" si="8"/>
        <v>4415350.723343513</v>
      </c>
      <c r="G14" s="43">
        <f t="shared" si="8"/>
        <v>4696216.508116018</v>
      </c>
      <c r="H14" s="43">
        <f t="shared" si="8"/>
        <v>4985075.9975834647</v>
      </c>
      <c r="I14" s="43">
        <f t="shared" si="8"/>
        <v>5282178.8609603653</v>
      </c>
      <c r="J14" s="43">
        <f t="shared" si="8"/>
        <v>5587783.7592880791</v>
      </c>
      <c r="K14" s="43">
        <f t="shared" si="8"/>
        <v>5902158.6681020195</v>
      </c>
      <c r="L14" s="43">
        <f t="shared" si="8"/>
        <v>6225581.2125283629</v>
      </c>
      <c r="M14" s="43">
        <f t="shared" si="8"/>
        <v>6558339.0152635062</v>
      </c>
      <c r="N14" s="43">
        <f t="shared" si="8"/>
        <v>6900730.0579077955</v>
      </c>
      <c r="O14" s="43">
        <f t="shared" si="8"/>
        <v>7253063.0561438911</v>
      </c>
      <c r="P14" s="43">
        <f t="shared" si="8"/>
        <v>7615657.8492696406</v>
      </c>
      <c r="Q14" s="43">
        <f t="shared" si="8"/>
        <v>7988845.8046155581</v>
      </c>
      <c r="R14" s="43">
        <f t="shared" si="8"/>
        <v>8118264.8841300281</v>
      </c>
    </row>
    <row r="15" spans="2:190" ht="4.95" customHeight="1" outlineLevel="1" x14ac:dyDescent="0.3">
      <c r="B15" s="44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2:190" outlineLevel="1" x14ac:dyDescent="0.3">
      <c r="B16" s="1" t="s">
        <v>32</v>
      </c>
      <c r="F16" s="34"/>
    </row>
    <row r="17" spans="2:18" outlineLevel="1" x14ac:dyDescent="0.3">
      <c r="B17" s="35" t="s">
        <v>33</v>
      </c>
      <c r="C17" s="47">
        <f>(MAX(C6:D6)/-D7)</f>
        <v>-1.2409701900279306</v>
      </c>
      <c r="D17" s="47">
        <f>(MAX(D6:E6)/-D7)</f>
        <v>-1.2657895938284893</v>
      </c>
      <c r="E17" s="47">
        <f t="shared" ref="E17:R17" si="9">(MAX(E6:F6)/-E7)</f>
        <v>-1.2911053857050592</v>
      </c>
      <c r="F17" s="47">
        <f t="shared" si="9"/>
        <v>-1.3169274934191604</v>
      </c>
      <c r="G17" s="47">
        <f t="shared" si="9"/>
        <v>-1.3432660432875434</v>
      </c>
      <c r="H17" s="47">
        <f t="shared" si="9"/>
        <v>-1.3701313641532944</v>
      </c>
      <c r="I17" s="47">
        <f t="shared" si="9"/>
        <v>-1.3975339914363603</v>
      </c>
      <c r="J17" s="47">
        <f t="shared" si="9"/>
        <v>-1.4254846712650873</v>
      </c>
      <c r="K17" s="47">
        <f t="shared" si="9"/>
        <v>-1.453994364690389</v>
      </c>
      <c r="L17" s="47">
        <f t="shared" si="9"/>
        <v>-1.4830742519841971</v>
      </c>
      <c r="M17" s="47">
        <f t="shared" si="9"/>
        <v>-1.5127357370238808</v>
      </c>
      <c r="N17" s="47">
        <f t="shared" si="9"/>
        <v>-1.5429904517643585</v>
      </c>
      <c r="O17" s="47">
        <f t="shared" si="9"/>
        <v>-1.5738502607996454</v>
      </c>
      <c r="P17" s="47">
        <f t="shared" si="9"/>
        <v>-1.6053272660156386</v>
      </c>
      <c r="Q17" s="47">
        <f t="shared" si="9"/>
        <v>-1.6374338113359512</v>
      </c>
      <c r="R17" s="47">
        <f t="shared" si="9"/>
        <v>-1.6374338113359512</v>
      </c>
    </row>
    <row r="18" spans="2:18" outlineLevel="1" x14ac:dyDescent="0.3">
      <c r="B18" s="35" t="s">
        <v>34</v>
      </c>
      <c r="C18" s="48">
        <f>C13/(D46/C$11)</f>
        <v>0.63876651982378851</v>
      </c>
      <c r="D18" s="48">
        <f>D13/(MAX(E46,D46)/D$11)</f>
        <v>0.62794311490934462</v>
      </c>
      <c r="E18" s="48">
        <f t="shared" ref="E18:R18" si="10">E13/(MAX(F46,E46)/E$11)</f>
        <v>0.60868890118239249</v>
      </c>
      <c r="F18" s="48">
        <f t="shared" si="10"/>
        <v>0.58929745046594872</v>
      </c>
      <c r="G18" s="48">
        <f t="shared" si="10"/>
        <v>0.56976616652474299</v>
      </c>
      <c r="H18" s="48">
        <f t="shared" si="10"/>
        <v>0.55009226640698994</v>
      </c>
      <c r="I18" s="48">
        <f t="shared" si="10"/>
        <v>0.53027278148859425</v>
      </c>
      <c r="J18" s="48">
        <f t="shared" si="10"/>
        <v>0.51030455839730393</v>
      </c>
      <c r="K18" s="48">
        <f t="shared" si="10"/>
        <v>0.49018425981805847</v>
      </c>
      <c r="L18" s="48">
        <f t="shared" si="10"/>
        <v>0.46990836518070428</v>
      </c>
      <c r="M18" s="48">
        <f t="shared" si="10"/>
        <v>0.44947317123119124</v>
      </c>
      <c r="N18" s="48">
        <f t="shared" si="10"/>
        <v>0.42887479248730476</v>
      </c>
      <c r="O18" s="48">
        <f t="shared" si="10"/>
        <v>0.40810916157991844</v>
      </c>
      <c r="P18" s="48">
        <f t="shared" si="10"/>
        <v>0.38717202948070123</v>
      </c>
      <c r="Q18" s="48">
        <f t="shared" si="10"/>
        <v>0.36605896561714424</v>
      </c>
      <c r="R18" s="48">
        <f t="shared" si="10"/>
        <v>0.35166066503323362</v>
      </c>
    </row>
    <row r="19" spans="2:18" outlineLevel="1" x14ac:dyDescent="0.3">
      <c r="B19" s="49" t="s">
        <v>7</v>
      </c>
      <c r="C19" s="50">
        <f>D6/C13</f>
        <v>6.8965517241379309E-2</v>
      </c>
      <c r="D19" s="50">
        <f>(MAX(D6:E6)/D13)</f>
        <v>7.1662542245560873E-2</v>
      </c>
      <c r="E19" s="50">
        <f t="shared" ref="E19:R19" si="11">(MAX(E6:F6)/E13)</f>
        <v>7.4545469634583444E-2</v>
      </c>
      <c r="F19" s="50">
        <f t="shared" si="11"/>
        <v>7.763481746582504E-2</v>
      </c>
      <c r="G19" s="50">
        <f t="shared" si="11"/>
        <v>8.0954262836168148E-2</v>
      </c>
      <c r="H19" s="50">
        <f t="shared" si="11"/>
        <v>8.4531273823792719E-2</v>
      </c>
      <c r="I19" s="50">
        <f t="shared" si="11"/>
        <v>8.8397899413979728E-2</v>
      </c>
      <c r="J19" s="50">
        <f t="shared" si="11"/>
        <v>9.2591765490781533E-2</v>
      </c>
      <c r="K19" s="50">
        <f t="shared" si="11"/>
        <v>9.7157342460724785E-2</v>
      </c>
      <c r="L19" s="50">
        <f t="shared" si="11"/>
        <v>0.10214757505230088</v>
      </c>
      <c r="M19" s="50">
        <f t="shared" si="11"/>
        <v>0.10762600105250289</v>
      </c>
      <c r="N19" s="50">
        <f t="shared" si="11"/>
        <v>0.11366953911482933</v>
      </c>
      <c r="O19" s="50">
        <f t="shared" si="11"/>
        <v>0.12037220583292405</v>
      </c>
      <c r="P19" s="50">
        <f t="shared" si="11"/>
        <v>0.12785014471833728</v>
      </c>
      <c r="Q19" s="50">
        <f t="shared" si="11"/>
        <v>0.13624854104014361</v>
      </c>
      <c r="R19" s="50">
        <f t="shared" si="11"/>
        <v>0.14289343391661713</v>
      </c>
    </row>
    <row r="20" spans="2:18" ht="4.95" customHeight="1" outlineLevel="1" x14ac:dyDescent="0.3"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2:18" outlineLevel="1" x14ac:dyDescent="0.3">
      <c r="B21" s="1" t="s">
        <v>8</v>
      </c>
    </row>
    <row r="22" spans="2:18" outlineLevel="1" x14ac:dyDescent="0.3">
      <c r="B22" s="35" t="s">
        <v>9</v>
      </c>
      <c r="D22" s="37">
        <v>0.65</v>
      </c>
      <c r="E22" s="37">
        <f>D22</f>
        <v>0.65</v>
      </c>
      <c r="F22" s="37">
        <f t="shared" ref="F22:R22" si="12">E22</f>
        <v>0.65</v>
      </c>
      <c r="G22" s="37">
        <f t="shared" si="12"/>
        <v>0.65</v>
      </c>
      <c r="H22" s="37">
        <f t="shared" si="12"/>
        <v>0.65</v>
      </c>
      <c r="I22" s="37">
        <f t="shared" si="12"/>
        <v>0.65</v>
      </c>
      <c r="J22" s="37">
        <f t="shared" si="12"/>
        <v>0.65</v>
      </c>
      <c r="K22" s="37">
        <f t="shared" si="12"/>
        <v>0.65</v>
      </c>
      <c r="L22" s="37">
        <f t="shared" si="12"/>
        <v>0.65</v>
      </c>
      <c r="M22" s="37">
        <f t="shared" si="12"/>
        <v>0.65</v>
      </c>
      <c r="N22" s="37">
        <f t="shared" si="12"/>
        <v>0.65</v>
      </c>
      <c r="O22" s="37">
        <f t="shared" si="12"/>
        <v>0.65</v>
      </c>
      <c r="P22" s="37">
        <f t="shared" si="12"/>
        <v>0.65</v>
      </c>
      <c r="Q22" s="37">
        <f t="shared" si="12"/>
        <v>0.65</v>
      </c>
      <c r="R22" s="37">
        <f t="shared" si="12"/>
        <v>0.65</v>
      </c>
    </row>
    <row r="23" spans="2:18" outlineLevel="1" x14ac:dyDescent="0.3">
      <c r="B23" s="35" t="s">
        <v>10</v>
      </c>
      <c r="D23" s="40">
        <f t="shared" ref="D23:R23" si="13">D12*D22</f>
        <v>7145666.666666667</v>
      </c>
      <c r="E23" s="40">
        <f t="shared" si="13"/>
        <v>7228343.8016528916</v>
      </c>
      <c r="F23" s="40">
        <f t="shared" si="13"/>
        <v>7312476.9836065564</v>
      </c>
      <c r="G23" s="40">
        <f t="shared" si="13"/>
        <v>7398086.4702439019</v>
      </c>
      <c r="H23" s="40">
        <f t="shared" si="13"/>
        <v>7485192.9722322579</v>
      </c>
      <c r="I23" s="40">
        <f t="shared" si="13"/>
        <v>7573817.6570234876</v>
      </c>
      <c r="J23" s="40">
        <f t="shared" si="13"/>
        <v>7663982.1529404335</v>
      </c>
      <c r="K23" s="40">
        <f t="shared" si="13"/>
        <v>7755708.5535110589</v>
      </c>
      <c r="L23" s="40">
        <f t="shared" si="13"/>
        <v>7849019.4220454907</v>
      </c>
      <c r="M23" s="40">
        <f t="shared" si="13"/>
        <v>7943937.7964516208</v>
      </c>
      <c r="N23" s="40">
        <f t="shared" si="13"/>
        <v>8040487.194285417</v>
      </c>
      <c r="O23" s="40">
        <f t="shared" si="13"/>
        <v>8138691.6180324145</v>
      </c>
      <c r="P23" s="40">
        <f t="shared" si="13"/>
        <v>8238575.5606173584</v>
      </c>
      <c r="Q23" s="40">
        <f t="shared" si="13"/>
        <v>8340164.0111392559</v>
      </c>
      <c r="R23" s="40">
        <f t="shared" si="13"/>
        <v>8277923.9812053815</v>
      </c>
    </row>
    <row r="24" spans="2:18" ht="4.95" customHeight="1" outlineLevel="1" x14ac:dyDescent="0.3">
      <c r="B24" s="35"/>
      <c r="D24" s="36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 spans="2:18" outlineLevel="1" x14ac:dyDescent="0.3">
      <c r="B25" s="35" t="s">
        <v>29</v>
      </c>
      <c r="D25" s="51">
        <f>D40</f>
        <v>3.7500000000000006E-2</v>
      </c>
      <c r="E25" s="51">
        <f>D25+0.001</f>
        <v>3.8500000000000006E-2</v>
      </c>
      <c r="F25" s="51">
        <f t="shared" ref="F25:R25" si="14">E25+0.001</f>
        <v>3.9500000000000007E-2</v>
      </c>
      <c r="G25" s="51">
        <f t="shared" si="14"/>
        <v>4.0500000000000008E-2</v>
      </c>
      <c r="H25" s="51">
        <f t="shared" si="14"/>
        <v>4.1500000000000009E-2</v>
      </c>
      <c r="I25" s="51">
        <f t="shared" si="14"/>
        <v>4.250000000000001E-2</v>
      </c>
      <c r="J25" s="51">
        <f t="shared" si="14"/>
        <v>4.3500000000000011E-2</v>
      </c>
      <c r="K25" s="51">
        <f t="shared" si="14"/>
        <v>4.4500000000000012E-2</v>
      </c>
      <c r="L25" s="51">
        <f t="shared" si="14"/>
        <v>4.5500000000000013E-2</v>
      </c>
      <c r="M25" s="51">
        <f t="shared" si="14"/>
        <v>4.6500000000000014E-2</v>
      </c>
      <c r="N25" s="51">
        <f t="shared" si="14"/>
        <v>4.7500000000000014E-2</v>
      </c>
      <c r="O25" s="51">
        <f t="shared" si="14"/>
        <v>4.8500000000000015E-2</v>
      </c>
      <c r="P25" s="51">
        <f t="shared" si="14"/>
        <v>4.9500000000000016E-2</v>
      </c>
      <c r="Q25" s="51">
        <f t="shared" si="14"/>
        <v>5.0500000000000017E-2</v>
      </c>
      <c r="R25" s="51">
        <f t="shared" si="14"/>
        <v>5.1500000000000018E-2</v>
      </c>
    </row>
    <row r="26" spans="2:18" outlineLevel="1" x14ac:dyDescent="0.3">
      <c r="B26" s="35" t="s">
        <v>11</v>
      </c>
      <c r="D26" s="52">
        <v>1.25</v>
      </c>
      <c r="E26" s="52">
        <f>D26</f>
        <v>1.25</v>
      </c>
      <c r="F26" s="52">
        <f t="shared" ref="F26:R26" si="15">E26</f>
        <v>1.25</v>
      </c>
      <c r="G26" s="52">
        <f t="shared" si="15"/>
        <v>1.25</v>
      </c>
      <c r="H26" s="52">
        <f t="shared" si="15"/>
        <v>1.25</v>
      </c>
      <c r="I26" s="52">
        <f t="shared" si="15"/>
        <v>1.25</v>
      </c>
      <c r="J26" s="52">
        <f t="shared" si="15"/>
        <v>1.25</v>
      </c>
      <c r="K26" s="52">
        <f t="shared" si="15"/>
        <v>1.25</v>
      </c>
      <c r="L26" s="52">
        <f t="shared" si="15"/>
        <v>1.25</v>
      </c>
      <c r="M26" s="52">
        <f t="shared" si="15"/>
        <v>1.25</v>
      </c>
      <c r="N26" s="52">
        <f t="shared" si="15"/>
        <v>1.25</v>
      </c>
      <c r="O26" s="52">
        <f t="shared" si="15"/>
        <v>1.25</v>
      </c>
      <c r="P26" s="52">
        <f t="shared" si="15"/>
        <v>1.25</v>
      </c>
      <c r="Q26" s="52">
        <f t="shared" si="15"/>
        <v>1.25</v>
      </c>
      <c r="R26" s="52">
        <f t="shared" si="15"/>
        <v>1.25</v>
      </c>
    </row>
    <row r="27" spans="2:18" outlineLevel="1" x14ac:dyDescent="0.3">
      <c r="B27" s="35" t="s">
        <v>13</v>
      </c>
      <c r="D27" s="53">
        <v>30</v>
      </c>
      <c r="E27" s="53">
        <f>D27</f>
        <v>30</v>
      </c>
      <c r="F27" s="53">
        <f t="shared" ref="F27:R27" si="16">E27</f>
        <v>30</v>
      </c>
      <c r="G27" s="53">
        <f t="shared" si="16"/>
        <v>30</v>
      </c>
      <c r="H27" s="53">
        <f t="shared" si="16"/>
        <v>30</v>
      </c>
      <c r="I27" s="53">
        <f t="shared" si="16"/>
        <v>30</v>
      </c>
      <c r="J27" s="53">
        <f t="shared" si="16"/>
        <v>30</v>
      </c>
      <c r="K27" s="53">
        <f t="shared" si="16"/>
        <v>30</v>
      </c>
      <c r="L27" s="53">
        <f t="shared" si="16"/>
        <v>30</v>
      </c>
      <c r="M27" s="53">
        <f t="shared" si="16"/>
        <v>30</v>
      </c>
      <c r="N27" s="53">
        <f t="shared" si="16"/>
        <v>30</v>
      </c>
      <c r="O27" s="53">
        <f t="shared" si="16"/>
        <v>30</v>
      </c>
      <c r="P27" s="53">
        <f t="shared" si="16"/>
        <v>30</v>
      </c>
      <c r="Q27" s="53">
        <f t="shared" si="16"/>
        <v>30</v>
      </c>
      <c r="R27" s="53">
        <f t="shared" si="16"/>
        <v>30</v>
      </c>
    </row>
    <row r="28" spans="2:18" outlineLevel="1" x14ac:dyDescent="0.3">
      <c r="B28" s="35" t="s">
        <v>12</v>
      </c>
      <c r="D28" s="40">
        <f t="shared" ref="D28:R28" si="17">-PV(D25/12,D27*12,(MAX(D6,E6))/D26/12,0)</f>
        <v>7341579.6442052899</v>
      </c>
      <c r="E28" s="40">
        <f t="shared" si="17"/>
        <v>7397481.0199647006</v>
      </c>
      <c r="F28" s="40">
        <f t="shared" si="17"/>
        <v>7454335.9982683854</v>
      </c>
      <c r="G28" s="40">
        <f t="shared" si="17"/>
        <v>7512158.1037513167</v>
      </c>
      <c r="H28" s="40">
        <f t="shared" si="17"/>
        <v>7570961.0930162873</v>
      </c>
      <c r="I28" s="40">
        <f t="shared" si="17"/>
        <v>7630758.9584629592</v>
      </c>
      <c r="J28" s="40">
        <f t="shared" si="17"/>
        <v>7691565.9321874138</v>
      </c>
      <c r="K28" s="40">
        <f t="shared" si="17"/>
        <v>7753396.4899509568</v>
      </c>
      <c r="L28" s="40">
        <f t="shared" si="17"/>
        <v>7816265.3552147942</v>
      </c>
      <c r="M28" s="40">
        <f t="shared" si="17"/>
        <v>7880187.5032509426</v>
      </c>
      <c r="N28" s="40">
        <f t="shared" si="17"/>
        <v>7945178.1653205184</v>
      </c>
      <c r="O28" s="40">
        <f t="shared" si="17"/>
        <v>8011252.8329299362</v>
      </c>
      <c r="P28" s="40">
        <f t="shared" si="17"/>
        <v>8078427.262157389</v>
      </c>
      <c r="Q28" s="40">
        <f t="shared" si="17"/>
        <v>8146717.4780603023</v>
      </c>
      <c r="R28" s="40">
        <f t="shared" si="17"/>
        <v>8055038.9991721576</v>
      </c>
    </row>
    <row r="29" spans="2:18" ht="4.95" customHeight="1" outlineLevel="1" x14ac:dyDescent="0.3">
      <c r="B29" s="35"/>
      <c r="D29" s="5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  <row r="30" spans="2:18" outlineLevel="1" x14ac:dyDescent="0.3">
      <c r="B30" s="35" t="s">
        <v>14</v>
      </c>
      <c r="D30" s="37">
        <f>D11+2.5%</f>
        <v>7.0000000000000007E-2</v>
      </c>
      <c r="E30" s="37">
        <f t="shared" ref="E30:R30" si="18">E11+2.5%</f>
        <v>7.0374999999999993E-2</v>
      </c>
      <c r="F30" s="37">
        <f t="shared" si="18"/>
        <v>7.0750000000000007E-2</v>
      </c>
      <c r="G30" s="37">
        <f t="shared" si="18"/>
        <v>7.1124999999999994E-2</v>
      </c>
      <c r="H30" s="37">
        <f t="shared" si="18"/>
        <v>7.1500000000000008E-2</v>
      </c>
      <c r="I30" s="37">
        <f t="shared" si="18"/>
        <v>7.1874999999999994E-2</v>
      </c>
      <c r="J30" s="37">
        <f t="shared" si="18"/>
        <v>7.2250000000000009E-2</v>
      </c>
      <c r="K30" s="37">
        <f t="shared" si="18"/>
        <v>7.2624999999999995E-2</v>
      </c>
      <c r="L30" s="37">
        <f t="shared" si="18"/>
        <v>7.3000000000000009E-2</v>
      </c>
      <c r="M30" s="37">
        <f t="shared" si="18"/>
        <v>7.3374999999999996E-2</v>
      </c>
      <c r="N30" s="37">
        <f t="shared" si="18"/>
        <v>7.375000000000001E-2</v>
      </c>
      <c r="O30" s="37">
        <f t="shared" si="18"/>
        <v>7.4124999999999996E-2</v>
      </c>
      <c r="P30" s="37">
        <f t="shared" si="18"/>
        <v>7.4500000000000011E-2</v>
      </c>
      <c r="Q30" s="37">
        <f t="shared" si="18"/>
        <v>7.4874999999999997E-2</v>
      </c>
      <c r="R30" s="37">
        <f t="shared" si="18"/>
        <v>7.5250000000000011E-2</v>
      </c>
    </row>
    <row r="31" spans="2:18" outlineLevel="1" x14ac:dyDescent="0.3">
      <c r="B31" s="35" t="s">
        <v>15</v>
      </c>
      <c r="D31" s="40">
        <f t="shared" ref="D31:R31" si="19">MAX(E6,D6)/D30</f>
        <v>7285714.2857142854</v>
      </c>
      <c r="E31" s="40">
        <f t="shared" si="19"/>
        <v>7391829.4849023102</v>
      </c>
      <c r="F31" s="40">
        <f t="shared" si="19"/>
        <v>7499703.1802120134</v>
      </c>
      <c r="G31" s="40">
        <f t="shared" si="19"/>
        <v>7609364.9209138844</v>
      </c>
      <c r="H31" s="40">
        <f t="shared" si="19"/>
        <v>7720844.7776223766</v>
      </c>
      <c r="I31" s="40">
        <f t="shared" si="19"/>
        <v>7834173.3514017388</v>
      </c>
      <c r="J31" s="40">
        <f t="shared" si="19"/>
        <v>7949381.7830399973</v>
      </c>
      <c r="K31" s="40">
        <f t="shared" si="19"/>
        <v>8066501.7624940835</v>
      </c>
      <c r="L31" s="40">
        <f t="shared" si="19"/>
        <v>8185565.5385089777</v>
      </c>
      <c r="M31" s="40">
        <f t="shared" si="19"/>
        <v>8306605.9284140179</v>
      </c>
      <c r="N31" s="40">
        <f t="shared" si="19"/>
        <v>8429656.3280993346</v>
      </c>
      <c r="O31" s="40">
        <f t="shared" si="19"/>
        <v>8554750.7221756838</v>
      </c>
      <c r="P31" s="40">
        <f t="shared" si="19"/>
        <v>8681923.6943207774</v>
      </c>
      <c r="Q31" s="40">
        <f t="shared" si="19"/>
        <v>8811210.437815506</v>
      </c>
      <c r="R31" s="40">
        <f t="shared" si="19"/>
        <v>8767300.7512483168</v>
      </c>
    </row>
    <row r="32" spans="2:18" ht="4.95" customHeight="1" outlineLevel="1" x14ac:dyDescent="0.3">
      <c r="B32" s="35"/>
      <c r="D32" s="53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</row>
    <row r="33" spans="2:19" outlineLevel="1" x14ac:dyDescent="0.3">
      <c r="B33" s="35" t="s">
        <v>16</v>
      </c>
      <c r="D33" s="40">
        <f>MIN(D31,D28,D23)</f>
        <v>7145666.666666667</v>
      </c>
      <c r="E33" s="40">
        <f t="shared" ref="E33:R33" si="20">MIN(E31,E28,E23)</f>
        <v>7228343.8016528916</v>
      </c>
      <c r="F33" s="40">
        <f t="shared" si="20"/>
        <v>7312476.9836065564</v>
      </c>
      <c r="G33" s="40">
        <f t="shared" si="20"/>
        <v>7398086.4702439019</v>
      </c>
      <c r="H33" s="40">
        <f t="shared" si="20"/>
        <v>7485192.9722322579</v>
      </c>
      <c r="I33" s="40">
        <f t="shared" si="20"/>
        <v>7573817.6570234876</v>
      </c>
      <c r="J33" s="40">
        <f t="shared" si="20"/>
        <v>7663982.1529404335</v>
      </c>
      <c r="K33" s="40">
        <f t="shared" si="20"/>
        <v>7753396.4899509568</v>
      </c>
      <c r="L33" s="40">
        <f t="shared" si="20"/>
        <v>7816265.3552147942</v>
      </c>
      <c r="M33" s="40">
        <f t="shared" si="20"/>
        <v>7880187.5032509426</v>
      </c>
      <c r="N33" s="40">
        <f t="shared" si="20"/>
        <v>7945178.1653205184</v>
      </c>
      <c r="O33" s="40">
        <f t="shared" si="20"/>
        <v>8011252.8329299362</v>
      </c>
      <c r="P33" s="40">
        <f t="shared" si="20"/>
        <v>8078427.262157389</v>
      </c>
      <c r="Q33" s="40">
        <f t="shared" si="20"/>
        <v>8146717.4780603023</v>
      </c>
      <c r="R33" s="40">
        <f t="shared" si="20"/>
        <v>8055038.9991721576</v>
      </c>
    </row>
    <row r="34" spans="2:19" outlineLevel="1" x14ac:dyDescent="0.3">
      <c r="B34" s="35" t="s">
        <v>17</v>
      </c>
      <c r="D34" s="55">
        <f>D13</f>
        <v>7116688.63563924</v>
      </c>
      <c r="E34" s="55">
        <f t="shared" ref="E34:R34" si="21">E13</f>
        <v>6978291.2704149988</v>
      </c>
      <c r="F34" s="55">
        <f t="shared" si="21"/>
        <v>6834613.8668204201</v>
      </c>
      <c r="G34" s="55">
        <f t="shared" si="21"/>
        <v>6685454.9845669083</v>
      </c>
      <c r="H34" s="55">
        <f t="shared" si="21"/>
        <v>6530605.4981584707</v>
      </c>
      <c r="I34" s="55">
        <f t="shared" si="21"/>
        <v>6369848.3036911534</v>
      </c>
      <c r="J34" s="55">
        <f t="shared" si="21"/>
        <v>6202958.0144664338</v>
      </c>
      <c r="K34" s="55">
        <f t="shared" si="21"/>
        <v>6029700.6449919166</v>
      </c>
      <c r="L34" s="55">
        <f t="shared" si="21"/>
        <v>5849833.2829262372</v>
      </c>
      <c r="M34" s="55">
        <f t="shared" si="21"/>
        <v>5663103.7485082177</v>
      </c>
      <c r="N34" s="55">
        <f t="shared" si="21"/>
        <v>5469250.240992846</v>
      </c>
      <c r="O34" s="55">
        <f t="shared" si="21"/>
        <v>5268000.9715982843</v>
      </c>
      <c r="P34" s="55">
        <f t="shared" si="21"/>
        <v>5059073.7824493712</v>
      </c>
      <c r="Q34" s="55">
        <f t="shared" si="21"/>
        <v>4842175.7509832969</v>
      </c>
      <c r="R34" s="55">
        <f t="shared" si="21"/>
        <v>4617002.7792628659</v>
      </c>
    </row>
    <row r="35" spans="2:19" outlineLevel="1" x14ac:dyDescent="0.3">
      <c r="B35" s="49" t="s">
        <v>18</v>
      </c>
      <c r="C35" s="56"/>
      <c r="D35" s="30">
        <f>D33-D34</f>
        <v>28978.031027426943</v>
      </c>
      <c r="E35" s="30">
        <f t="shared" ref="E35:R35" si="22">E33-E34</f>
        <v>250052.53123789281</v>
      </c>
      <c r="F35" s="30">
        <f t="shared" si="22"/>
        <v>477863.11678613629</v>
      </c>
      <c r="G35" s="30">
        <f t="shared" si="22"/>
        <v>712631.48567699362</v>
      </c>
      <c r="H35" s="30">
        <f t="shared" si="22"/>
        <v>954587.47407378722</v>
      </c>
      <c r="I35" s="30">
        <f t="shared" si="22"/>
        <v>1203969.3533323342</v>
      </c>
      <c r="J35" s="30">
        <f t="shared" si="22"/>
        <v>1461024.1384739997</v>
      </c>
      <c r="K35" s="30">
        <f t="shared" si="22"/>
        <v>1723695.8449590402</v>
      </c>
      <c r="L35" s="30">
        <f t="shared" si="22"/>
        <v>1966432.072288557</v>
      </c>
      <c r="M35" s="30">
        <f t="shared" si="22"/>
        <v>2217083.7547427248</v>
      </c>
      <c r="N35" s="30">
        <f t="shared" si="22"/>
        <v>2475927.9243276725</v>
      </c>
      <c r="O35" s="30">
        <f t="shared" si="22"/>
        <v>2743251.8613316519</v>
      </c>
      <c r="P35" s="30">
        <f t="shared" si="22"/>
        <v>3019353.4797080178</v>
      </c>
      <c r="Q35" s="30">
        <f t="shared" si="22"/>
        <v>3304541.7270770054</v>
      </c>
      <c r="R35" s="30">
        <f t="shared" si="22"/>
        <v>3438036.2199092917</v>
      </c>
    </row>
    <row r="36" spans="2:19" ht="4.95" customHeight="1" outlineLevel="1" x14ac:dyDescent="0.3">
      <c r="B36" s="44"/>
      <c r="C36" s="45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2:19" outlineLevel="1" x14ac:dyDescent="0.3">
      <c r="B37" s="58" t="s">
        <v>27</v>
      </c>
      <c r="C37" s="59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1"/>
    </row>
    <row r="38" spans="2:19" outlineLevel="1" x14ac:dyDescent="0.3">
      <c r="B38" s="62" t="s">
        <v>28</v>
      </c>
      <c r="C38" s="59"/>
      <c r="D38" s="63">
        <v>1.7500000000000002E-2</v>
      </c>
      <c r="E38" s="63">
        <f>D38+0.15%</f>
        <v>1.9000000000000003E-2</v>
      </c>
      <c r="F38" s="63">
        <f t="shared" ref="F38:R38" si="23">E38+0.15%</f>
        <v>2.0500000000000004E-2</v>
      </c>
      <c r="G38" s="63">
        <f t="shared" si="23"/>
        <v>2.2000000000000006E-2</v>
      </c>
      <c r="H38" s="63">
        <f t="shared" si="23"/>
        <v>2.3500000000000007E-2</v>
      </c>
      <c r="I38" s="63">
        <f t="shared" si="23"/>
        <v>2.5000000000000008E-2</v>
      </c>
      <c r="J38" s="63">
        <f t="shared" si="23"/>
        <v>2.650000000000001E-2</v>
      </c>
      <c r="K38" s="63">
        <f t="shared" si="23"/>
        <v>2.8000000000000011E-2</v>
      </c>
      <c r="L38" s="63">
        <f t="shared" si="23"/>
        <v>2.9500000000000012E-2</v>
      </c>
      <c r="M38" s="63">
        <f t="shared" si="23"/>
        <v>3.1000000000000014E-2</v>
      </c>
      <c r="N38" s="63">
        <f t="shared" si="23"/>
        <v>3.2500000000000015E-2</v>
      </c>
      <c r="O38" s="63">
        <f t="shared" si="23"/>
        <v>3.4000000000000016E-2</v>
      </c>
      <c r="P38" s="63">
        <f t="shared" si="23"/>
        <v>3.5500000000000018E-2</v>
      </c>
      <c r="Q38" s="63">
        <f t="shared" si="23"/>
        <v>3.7000000000000019E-2</v>
      </c>
      <c r="R38" s="63">
        <f t="shared" si="23"/>
        <v>3.850000000000002E-2</v>
      </c>
      <c r="S38" s="61"/>
    </row>
    <row r="39" spans="2:19" outlineLevel="1" x14ac:dyDescent="0.3">
      <c r="B39" s="62" t="s">
        <v>30</v>
      </c>
      <c r="C39" s="59"/>
      <c r="D39" s="64">
        <v>0.02</v>
      </c>
      <c r="E39" s="65">
        <f>D39</f>
        <v>0.02</v>
      </c>
      <c r="F39" s="65">
        <f t="shared" ref="F39:R39" si="24">E39</f>
        <v>0.02</v>
      </c>
      <c r="G39" s="65">
        <f t="shared" si="24"/>
        <v>0.02</v>
      </c>
      <c r="H39" s="65">
        <f t="shared" si="24"/>
        <v>0.02</v>
      </c>
      <c r="I39" s="65">
        <f t="shared" si="24"/>
        <v>0.02</v>
      </c>
      <c r="J39" s="65">
        <f t="shared" si="24"/>
        <v>0.02</v>
      </c>
      <c r="K39" s="65">
        <f t="shared" si="24"/>
        <v>0.02</v>
      </c>
      <c r="L39" s="65">
        <f t="shared" si="24"/>
        <v>0.02</v>
      </c>
      <c r="M39" s="65">
        <f t="shared" si="24"/>
        <v>0.02</v>
      </c>
      <c r="N39" s="65">
        <f t="shared" si="24"/>
        <v>0.02</v>
      </c>
      <c r="O39" s="65">
        <f t="shared" si="24"/>
        <v>0.02</v>
      </c>
      <c r="P39" s="65">
        <f t="shared" si="24"/>
        <v>0.02</v>
      </c>
      <c r="Q39" s="65">
        <f t="shared" si="24"/>
        <v>0.02</v>
      </c>
      <c r="R39" s="65">
        <f t="shared" si="24"/>
        <v>0.02</v>
      </c>
      <c r="S39" s="61"/>
    </row>
    <row r="40" spans="2:19" outlineLevel="1" x14ac:dyDescent="0.3">
      <c r="B40" s="66" t="s">
        <v>29</v>
      </c>
      <c r="C40" s="67"/>
      <c r="D40" s="68">
        <f>SUM(D38:D39)</f>
        <v>3.7500000000000006E-2</v>
      </c>
      <c r="E40" s="68">
        <f t="shared" ref="E40:R40" si="25">SUM(E38:E39)</f>
        <v>3.9000000000000007E-2</v>
      </c>
      <c r="F40" s="68">
        <f t="shared" si="25"/>
        <v>4.0500000000000008E-2</v>
      </c>
      <c r="G40" s="68">
        <f t="shared" si="25"/>
        <v>4.200000000000001E-2</v>
      </c>
      <c r="H40" s="68">
        <f t="shared" si="25"/>
        <v>4.3500000000000011E-2</v>
      </c>
      <c r="I40" s="68">
        <f t="shared" si="25"/>
        <v>4.5000000000000012E-2</v>
      </c>
      <c r="J40" s="68">
        <f t="shared" si="25"/>
        <v>4.6500000000000014E-2</v>
      </c>
      <c r="K40" s="68">
        <f t="shared" si="25"/>
        <v>4.8000000000000015E-2</v>
      </c>
      <c r="L40" s="68">
        <f t="shared" si="25"/>
        <v>4.9500000000000016E-2</v>
      </c>
      <c r="M40" s="68">
        <f t="shared" si="25"/>
        <v>5.1000000000000018E-2</v>
      </c>
      <c r="N40" s="68">
        <f t="shared" si="25"/>
        <v>5.2500000000000019E-2</v>
      </c>
      <c r="O40" s="68">
        <f t="shared" si="25"/>
        <v>5.400000000000002E-2</v>
      </c>
      <c r="P40" s="68">
        <f t="shared" si="25"/>
        <v>5.5500000000000022E-2</v>
      </c>
      <c r="Q40" s="68">
        <f t="shared" si="25"/>
        <v>5.7000000000000023E-2</v>
      </c>
      <c r="R40" s="68">
        <f t="shared" si="25"/>
        <v>5.8500000000000024E-2</v>
      </c>
      <c r="S40" s="61"/>
    </row>
    <row r="41" spans="2:19" ht="15" customHeight="1" x14ac:dyDescent="0.3"/>
    <row r="42" spans="2:19" x14ac:dyDescent="0.3">
      <c r="B42" s="69" t="s">
        <v>19</v>
      </c>
      <c r="C42" s="70"/>
      <c r="D42" s="71"/>
      <c r="E42" s="72" t="s">
        <v>21</v>
      </c>
      <c r="F42" s="72" t="s">
        <v>22</v>
      </c>
      <c r="G42" s="72" t="s">
        <v>23</v>
      </c>
      <c r="H42" s="72" t="s">
        <v>24</v>
      </c>
      <c r="I42" s="73" t="s">
        <v>25</v>
      </c>
      <c r="J42" s="74"/>
      <c r="K42" s="74"/>
      <c r="L42" s="74"/>
      <c r="M42" s="74"/>
      <c r="N42" s="74"/>
      <c r="O42" s="74"/>
      <c r="P42" s="74"/>
      <c r="Q42" s="74"/>
      <c r="R42" s="74"/>
    </row>
    <row r="43" spans="2:19" x14ac:dyDescent="0.3">
      <c r="B43" s="75"/>
      <c r="C43" s="70"/>
      <c r="D43" s="76" t="s">
        <v>20</v>
      </c>
      <c r="E43" s="77">
        <v>0</v>
      </c>
      <c r="F43" s="77">
        <f>E43+5%</f>
        <v>0.05</v>
      </c>
      <c r="G43" s="77">
        <f t="shared" ref="G43:I43" si="26">F43+5%</f>
        <v>0.1</v>
      </c>
      <c r="H43" s="77">
        <f t="shared" si="26"/>
        <v>0.15000000000000002</v>
      </c>
      <c r="I43" s="78">
        <f t="shared" si="26"/>
        <v>0.2</v>
      </c>
      <c r="J43" s="79"/>
      <c r="K43" s="79"/>
      <c r="L43" s="79"/>
      <c r="M43" s="79"/>
      <c r="N43" s="79"/>
      <c r="O43" s="79"/>
      <c r="P43" s="79"/>
      <c r="Q43" s="79"/>
      <c r="R43" s="79"/>
    </row>
    <row r="44" spans="2:19" x14ac:dyDescent="0.3">
      <c r="B44" s="75"/>
      <c r="C44" s="70"/>
      <c r="D44" s="85">
        <f t="shared" ref="D44:R44" si="27">D4</f>
        <v>1</v>
      </c>
      <c r="E44" s="85">
        <f t="shared" si="27"/>
        <v>2</v>
      </c>
      <c r="F44" s="85">
        <f t="shared" si="27"/>
        <v>3</v>
      </c>
      <c r="G44" s="85">
        <f t="shared" si="27"/>
        <v>4</v>
      </c>
      <c r="H44" s="85">
        <f t="shared" si="27"/>
        <v>5</v>
      </c>
      <c r="I44" s="85">
        <f t="shared" si="27"/>
        <v>6</v>
      </c>
      <c r="J44" s="85">
        <f t="shared" si="27"/>
        <v>7</v>
      </c>
      <c r="K44" s="85">
        <f t="shared" si="27"/>
        <v>8</v>
      </c>
      <c r="L44" s="85">
        <f t="shared" si="27"/>
        <v>9</v>
      </c>
      <c r="M44" s="85">
        <f t="shared" si="27"/>
        <v>10</v>
      </c>
      <c r="N44" s="85">
        <f t="shared" si="27"/>
        <v>11</v>
      </c>
      <c r="O44" s="85">
        <f t="shared" si="27"/>
        <v>12</v>
      </c>
      <c r="P44" s="85">
        <f t="shared" si="27"/>
        <v>13</v>
      </c>
      <c r="Q44" s="85">
        <f t="shared" si="27"/>
        <v>14</v>
      </c>
      <c r="R44" s="85">
        <f t="shared" si="27"/>
        <v>15</v>
      </c>
    </row>
    <row r="45" spans="2:19" x14ac:dyDescent="0.3">
      <c r="B45" s="75" t="s">
        <v>26</v>
      </c>
      <c r="C45" s="70"/>
      <c r="D45" s="80">
        <f t="shared" ref="D45:D50" si="28">D$6*(1-$S45)</f>
        <v>500000</v>
      </c>
      <c r="E45" s="80">
        <f t="shared" ref="E45:R50" si="29">E$6*(1-$S45)</f>
        <v>510000</v>
      </c>
      <c r="F45" s="80">
        <f t="shared" si="29"/>
        <v>520200</v>
      </c>
      <c r="G45" s="80">
        <f t="shared" si="29"/>
        <v>530604</v>
      </c>
      <c r="H45" s="80">
        <f t="shared" si="29"/>
        <v>541216.07999999996</v>
      </c>
      <c r="I45" s="80">
        <f t="shared" si="29"/>
        <v>552040.40159999998</v>
      </c>
      <c r="J45" s="80">
        <f t="shared" si="29"/>
        <v>563081.20963199995</v>
      </c>
      <c r="K45" s="80">
        <f t="shared" si="29"/>
        <v>574342.83382463991</v>
      </c>
      <c r="L45" s="80">
        <f t="shared" si="29"/>
        <v>585829.69050113275</v>
      </c>
      <c r="M45" s="80">
        <f t="shared" si="29"/>
        <v>597546.28431115544</v>
      </c>
      <c r="N45" s="80">
        <f t="shared" si="29"/>
        <v>609497.20999737852</v>
      </c>
      <c r="O45" s="80">
        <f t="shared" si="29"/>
        <v>621687.15419732605</v>
      </c>
      <c r="P45" s="80">
        <f t="shared" si="29"/>
        <v>634120.89728127257</v>
      </c>
      <c r="Q45" s="80">
        <f t="shared" si="29"/>
        <v>646803.31522689806</v>
      </c>
      <c r="R45" s="80">
        <f t="shared" si="29"/>
        <v>659739.381531436</v>
      </c>
      <c r="S45" s="81">
        <v>0</v>
      </c>
    </row>
    <row r="46" spans="2:19" x14ac:dyDescent="0.3">
      <c r="B46" s="75" t="str">
        <f>"NOI After "&amp;TEXT(S46,"0.0%")&amp;" Reduction"</f>
        <v>NOI After 0.0% Reduction</v>
      </c>
      <c r="C46" s="82"/>
      <c r="D46" s="80">
        <f t="shared" si="28"/>
        <v>500000</v>
      </c>
      <c r="E46" s="80">
        <f t="shared" si="29"/>
        <v>510000</v>
      </c>
      <c r="F46" s="80">
        <f t="shared" si="29"/>
        <v>520200</v>
      </c>
      <c r="G46" s="80">
        <f t="shared" si="29"/>
        <v>530604</v>
      </c>
      <c r="H46" s="80">
        <f t="shared" si="29"/>
        <v>541216.07999999996</v>
      </c>
      <c r="I46" s="80">
        <f t="shared" si="29"/>
        <v>552040.40159999998</v>
      </c>
      <c r="J46" s="80">
        <f t="shared" si="29"/>
        <v>563081.20963199995</v>
      </c>
      <c r="K46" s="80">
        <f t="shared" si="29"/>
        <v>574342.83382463991</v>
      </c>
      <c r="L46" s="80">
        <f t="shared" si="29"/>
        <v>585829.69050113275</v>
      </c>
      <c r="M46" s="80">
        <f t="shared" si="29"/>
        <v>597546.28431115544</v>
      </c>
      <c r="N46" s="80">
        <f t="shared" si="29"/>
        <v>609497.20999737852</v>
      </c>
      <c r="O46" s="80">
        <f t="shared" si="29"/>
        <v>621687.15419732605</v>
      </c>
      <c r="P46" s="80">
        <f t="shared" si="29"/>
        <v>634120.89728127257</v>
      </c>
      <c r="Q46" s="80">
        <f t="shared" si="29"/>
        <v>646803.31522689806</v>
      </c>
      <c r="R46" s="80">
        <f t="shared" si="29"/>
        <v>659739.381531436</v>
      </c>
      <c r="S46" s="81">
        <f>$E$43</f>
        <v>0</v>
      </c>
    </row>
    <row r="47" spans="2:19" x14ac:dyDescent="0.3">
      <c r="B47" s="75" t="str">
        <f t="shared" ref="B47:B50" si="30">"NOI After "&amp;TEXT(S47,"0.0%")&amp;" Reduction"</f>
        <v>NOI After 5.0% Reduction</v>
      </c>
      <c r="C47" s="82"/>
      <c r="D47" s="80">
        <f t="shared" si="28"/>
        <v>475000</v>
      </c>
      <c r="E47" s="80">
        <f t="shared" si="29"/>
        <v>484500</v>
      </c>
      <c r="F47" s="80">
        <f t="shared" si="29"/>
        <v>494190</v>
      </c>
      <c r="G47" s="80">
        <f t="shared" si="29"/>
        <v>504073.8</v>
      </c>
      <c r="H47" s="80">
        <f t="shared" si="29"/>
        <v>514155.27599999995</v>
      </c>
      <c r="I47" s="80">
        <f t="shared" si="29"/>
        <v>524438.38151999994</v>
      </c>
      <c r="J47" s="80">
        <f t="shared" si="29"/>
        <v>534927.14915039996</v>
      </c>
      <c r="K47" s="80">
        <f t="shared" si="29"/>
        <v>545625.69213340792</v>
      </c>
      <c r="L47" s="80">
        <f t="shared" si="29"/>
        <v>556538.20597607607</v>
      </c>
      <c r="M47" s="80">
        <f t="shared" si="29"/>
        <v>567668.97009559767</v>
      </c>
      <c r="N47" s="80">
        <f t="shared" si="29"/>
        <v>579022.34949750954</v>
      </c>
      <c r="O47" s="80">
        <f t="shared" si="29"/>
        <v>590602.79648745968</v>
      </c>
      <c r="P47" s="80">
        <f t="shared" si="29"/>
        <v>602414.85241720895</v>
      </c>
      <c r="Q47" s="80">
        <f t="shared" si="29"/>
        <v>614463.14946555311</v>
      </c>
      <c r="R47" s="80">
        <f t="shared" si="29"/>
        <v>626752.41245486413</v>
      </c>
      <c r="S47" s="81">
        <f>$F$43</f>
        <v>0.05</v>
      </c>
    </row>
    <row r="48" spans="2:19" x14ac:dyDescent="0.3">
      <c r="B48" s="75" t="str">
        <f t="shared" si="30"/>
        <v>NOI After 10.0% Reduction</v>
      </c>
      <c r="C48" s="82"/>
      <c r="D48" s="80">
        <f t="shared" si="28"/>
        <v>450000</v>
      </c>
      <c r="E48" s="80">
        <f t="shared" si="29"/>
        <v>459000</v>
      </c>
      <c r="F48" s="80">
        <f t="shared" si="29"/>
        <v>468180</v>
      </c>
      <c r="G48" s="80">
        <f t="shared" si="29"/>
        <v>477543.60000000003</v>
      </c>
      <c r="H48" s="80">
        <f t="shared" si="29"/>
        <v>487094.47199999995</v>
      </c>
      <c r="I48" s="80">
        <f t="shared" si="29"/>
        <v>496836.36144000001</v>
      </c>
      <c r="J48" s="80">
        <f t="shared" si="29"/>
        <v>506773.08866879996</v>
      </c>
      <c r="K48" s="80">
        <f t="shared" si="29"/>
        <v>516908.55044217594</v>
      </c>
      <c r="L48" s="80">
        <f t="shared" si="29"/>
        <v>527246.72145101952</v>
      </c>
      <c r="M48" s="80">
        <f t="shared" si="29"/>
        <v>537791.65588003991</v>
      </c>
      <c r="N48" s="80">
        <f t="shared" si="29"/>
        <v>548547.48899764067</v>
      </c>
      <c r="O48" s="80">
        <f t="shared" si="29"/>
        <v>559518.43877759343</v>
      </c>
      <c r="P48" s="80">
        <f t="shared" si="29"/>
        <v>570708.80755314534</v>
      </c>
      <c r="Q48" s="80">
        <f t="shared" si="29"/>
        <v>582122.98370420828</v>
      </c>
      <c r="R48" s="80">
        <f t="shared" si="29"/>
        <v>593765.44337829237</v>
      </c>
      <c r="S48" s="81">
        <f>$G$43</f>
        <v>0.1</v>
      </c>
    </row>
    <row r="49" spans="2:19" x14ac:dyDescent="0.3">
      <c r="B49" s="75" t="str">
        <f t="shared" si="30"/>
        <v>NOI After 15.0% Reduction</v>
      </c>
      <c r="C49" s="82"/>
      <c r="D49" s="80">
        <f t="shared" si="28"/>
        <v>425000</v>
      </c>
      <c r="E49" s="80">
        <f t="shared" si="29"/>
        <v>433500</v>
      </c>
      <c r="F49" s="80">
        <f t="shared" si="29"/>
        <v>442170</v>
      </c>
      <c r="G49" s="80">
        <f t="shared" si="29"/>
        <v>451013.39999999997</v>
      </c>
      <c r="H49" s="80">
        <f t="shared" si="29"/>
        <v>460033.66799999995</v>
      </c>
      <c r="I49" s="80">
        <f t="shared" si="29"/>
        <v>469234.34135999996</v>
      </c>
      <c r="J49" s="80">
        <f t="shared" si="29"/>
        <v>478619.02818719996</v>
      </c>
      <c r="K49" s="80">
        <f t="shared" si="29"/>
        <v>488191.4087509439</v>
      </c>
      <c r="L49" s="80">
        <f t="shared" si="29"/>
        <v>497955.23692596285</v>
      </c>
      <c r="M49" s="80">
        <f t="shared" si="29"/>
        <v>507914.34166448208</v>
      </c>
      <c r="N49" s="80">
        <f t="shared" si="29"/>
        <v>518072.62849777174</v>
      </c>
      <c r="O49" s="80">
        <f t="shared" si="29"/>
        <v>528434.08106772718</v>
      </c>
      <c r="P49" s="80">
        <f t="shared" si="29"/>
        <v>539002.76268908172</v>
      </c>
      <c r="Q49" s="80">
        <f t="shared" si="29"/>
        <v>549782.81794286333</v>
      </c>
      <c r="R49" s="80">
        <f t="shared" si="29"/>
        <v>560778.47430172062</v>
      </c>
      <c r="S49" s="81">
        <f>$H$43</f>
        <v>0.15000000000000002</v>
      </c>
    </row>
    <row r="50" spans="2:19" x14ac:dyDescent="0.3">
      <c r="B50" s="75" t="str">
        <f t="shared" si="30"/>
        <v>NOI After 20.0% Reduction</v>
      </c>
      <c r="C50" s="82"/>
      <c r="D50" s="80">
        <f t="shared" si="28"/>
        <v>400000</v>
      </c>
      <c r="E50" s="80">
        <f t="shared" si="29"/>
        <v>408000</v>
      </c>
      <c r="F50" s="80">
        <f t="shared" si="29"/>
        <v>416160</v>
      </c>
      <c r="G50" s="80">
        <f t="shared" si="29"/>
        <v>424483.2</v>
      </c>
      <c r="H50" s="80">
        <f t="shared" si="29"/>
        <v>432972.864</v>
      </c>
      <c r="I50" s="80">
        <f t="shared" si="29"/>
        <v>441632.32128000003</v>
      </c>
      <c r="J50" s="80">
        <f t="shared" si="29"/>
        <v>450464.96770559996</v>
      </c>
      <c r="K50" s="80">
        <f t="shared" si="29"/>
        <v>459474.26705971197</v>
      </c>
      <c r="L50" s="80">
        <f t="shared" si="29"/>
        <v>468663.75240090623</v>
      </c>
      <c r="M50" s="80">
        <f t="shared" si="29"/>
        <v>478037.02744892437</v>
      </c>
      <c r="N50" s="80">
        <f t="shared" si="29"/>
        <v>487597.76799790282</v>
      </c>
      <c r="O50" s="80">
        <f t="shared" si="29"/>
        <v>497349.72335786087</v>
      </c>
      <c r="P50" s="80">
        <f t="shared" si="29"/>
        <v>507296.7178250181</v>
      </c>
      <c r="Q50" s="80">
        <f t="shared" si="29"/>
        <v>517442.6521815185</v>
      </c>
      <c r="R50" s="80">
        <f t="shared" si="29"/>
        <v>527791.50522514887</v>
      </c>
      <c r="S50" s="81">
        <f>$I$43</f>
        <v>0.2</v>
      </c>
    </row>
    <row r="51" spans="2:19" ht="4.95" customHeight="1" x14ac:dyDescent="0.3">
      <c r="B51" s="75"/>
      <c r="C51" s="70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2:19" x14ac:dyDescent="0.3">
      <c r="B52" s="75" t="str">
        <f>"LTV With "&amp;TEXT(S52,"0.0%")&amp;" Reduction"</f>
        <v>LTV With 0.0% Reduction</v>
      </c>
      <c r="C52" s="70"/>
      <c r="D52" s="79">
        <f>(D$13/(MAX(E46,D46)/D$11))</f>
        <v>0.62794311490934462</v>
      </c>
      <c r="E52" s="79">
        <f t="shared" ref="E52:R52" si="31">(E$13/(MAX(F46,E46)/E$11))</f>
        <v>0.60868890118239249</v>
      </c>
      <c r="F52" s="79">
        <f t="shared" si="31"/>
        <v>0.58929745046594872</v>
      </c>
      <c r="G52" s="79">
        <f t="shared" si="31"/>
        <v>0.56976616652474299</v>
      </c>
      <c r="H52" s="79">
        <f t="shared" si="31"/>
        <v>0.55009226640698994</v>
      </c>
      <c r="I52" s="79">
        <f t="shared" si="31"/>
        <v>0.53027278148859425</v>
      </c>
      <c r="J52" s="79">
        <f t="shared" si="31"/>
        <v>0.51030455839730393</v>
      </c>
      <c r="K52" s="79">
        <f t="shared" si="31"/>
        <v>0.49018425981805847</v>
      </c>
      <c r="L52" s="79">
        <f t="shared" si="31"/>
        <v>0.46990836518070428</v>
      </c>
      <c r="M52" s="79">
        <f t="shared" si="31"/>
        <v>0.44947317123119124</v>
      </c>
      <c r="N52" s="79">
        <f t="shared" si="31"/>
        <v>0.42887479248730476</v>
      </c>
      <c r="O52" s="79">
        <f t="shared" si="31"/>
        <v>0.40810916157991844</v>
      </c>
      <c r="P52" s="79">
        <f t="shared" si="31"/>
        <v>0.38717202948070123</v>
      </c>
      <c r="Q52" s="79">
        <f t="shared" si="31"/>
        <v>0.36605896561714424</v>
      </c>
      <c r="R52" s="79">
        <f t="shared" si="31"/>
        <v>0.35166066503323362</v>
      </c>
      <c r="S52" s="81">
        <f>$E$43</f>
        <v>0</v>
      </c>
    </row>
    <row r="53" spans="2:19" x14ac:dyDescent="0.3">
      <c r="B53" s="75" t="str">
        <f t="shared" ref="B53:B56" si="32">"LTV With "&amp;TEXT(S53,"0.0%")&amp;" Reduction"</f>
        <v>LTV With 5.0% Reduction</v>
      </c>
      <c r="C53" s="70"/>
      <c r="D53" s="79">
        <f t="shared" ref="D53:R56" si="33">(D$13/(MAX(E47,D47)/D$11))</f>
        <v>0.66099275253615219</v>
      </c>
      <c r="E53" s="79">
        <f t="shared" si="33"/>
        <v>0.64072515913936046</v>
      </c>
      <c r="F53" s="79">
        <f t="shared" si="33"/>
        <v>0.62031310575363019</v>
      </c>
      <c r="G53" s="79">
        <f t="shared" si="33"/>
        <v>0.59975385949972948</v>
      </c>
      <c r="H53" s="79">
        <f t="shared" si="33"/>
        <v>0.57904449095472632</v>
      </c>
      <c r="I53" s="79">
        <f t="shared" si="33"/>
        <v>0.55818187525115182</v>
      </c>
      <c r="J53" s="79">
        <f t="shared" si="33"/>
        <v>0.53716269304979358</v>
      </c>
      <c r="K53" s="79">
        <f t="shared" si="33"/>
        <v>0.51598343138742997</v>
      </c>
      <c r="L53" s="79">
        <f t="shared" si="33"/>
        <v>0.49464038440074137</v>
      </c>
      <c r="M53" s="79">
        <f t="shared" si="33"/>
        <v>0.47312965392756973</v>
      </c>
      <c r="N53" s="79">
        <f t="shared" si="33"/>
        <v>0.4514471499866366</v>
      </c>
      <c r="O53" s="79">
        <f t="shared" si="33"/>
        <v>0.42958859113675624</v>
      </c>
      <c r="P53" s="79">
        <f t="shared" si="33"/>
        <v>0.40754950471652768</v>
      </c>
      <c r="Q53" s="79">
        <f t="shared" si="33"/>
        <v>0.38532522696541505</v>
      </c>
      <c r="R53" s="79">
        <f t="shared" si="33"/>
        <v>0.37016912108761441</v>
      </c>
      <c r="S53" s="81">
        <f>$F$43</f>
        <v>0.05</v>
      </c>
    </row>
    <row r="54" spans="2:19" x14ac:dyDescent="0.3">
      <c r="B54" s="75" t="str">
        <f t="shared" si="32"/>
        <v>LTV With 10.0% Reduction</v>
      </c>
      <c r="C54" s="70"/>
      <c r="D54" s="79">
        <f t="shared" si="33"/>
        <v>0.69771457212149413</v>
      </c>
      <c r="E54" s="79">
        <f t="shared" si="33"/>
        <v>0.67632100131376938</v>
      </c>
      <c r="F54" s="79">
        <f t="shared" si="33"/>
        <v>0.65477494496216504</v>
      </c>
      <c r="G54" s="79">
        <f t="shared" si="33"/>
        <v>0.63307351836082559</v>
      </c>
      <c r="H54" s="79">
        <f t="shared" si="33"/>
        <v>0.61121362934109991</v>
      </c>
      <c r="I54" s="79">
        <f t="shared" si="33"/>
        <v>0.58919197943177137</v>
      </c>
      <c r="J54" s="79">
        <f t="shared" si="33"/>
        <v>0.56700506488589331</v>
      </c>
      <c r="K54" s="79">
        <f t="shared" si="33"/>
        <v>0.54464917757562048</v>
      </c>
      <c r="L54" s="79">
        <f t="shared" si="33"/>
        <v>0.52212040575633811</v>
      </c>
      <c r="M54" s="79">
        <f t="shared" si="33"/>
        <v>0.49941463470132358</v>
      </c>
      <c r="N54" s="79">
        <f t="shared" si="33"/>
        <v>0.47652754720811641</v>
      </c>
      <c r="O54" s="79">
        <f t="shared" si="33"/>
        <v>0.4534546239776871</v>
      </c>
      <c r="P54" s="79">
        <f t="shared" si="33"/>
        <v>0.43019114386744584</v>
      </c>
      <c r="Q54" s="79">
        <f t="shared" si="33"/>
        <v>0.4067321840190492</v>
      </c>
      <c r="R54" s="79">
        <f t="shared" si="33"/>
        <v>0.39073407225914847</v>
      </c>
      <c r="S54" s="81">
        <f>$G$43</f>
        <v>0.1</v>
      </c>
    </row>
    <row r="55" spans="2:19" x14ac:dyDescent="0.3">
      <c r="B55" s="75" t="str">
        <f t="shared" si="32"/>
        <v>LTV With 15.0% Reduction</v>
      </c>
      <c r="C55" s="70"/>
      <c r="D55" s="79">
        <f t="shared" si="33"/>
        <v>0.73875660577569957</v>
      </c>
      <c r="E55" s="79">
        <f t="shared" si="33"/>
        <v>0.71610458962634416</v>
      </c>
      <c r="F55" s="79">
        <f t="shared" si="33"/>
        <v>0.6932911181952337</v>
      </c>
      <c r="G55" s="79">
        <f t="shared" si="33"/>
        <v>0.67031313708793305</v>
      </c>
      <c r="H55" s="79">
        <f t="shared" si="33"/>
        <v>0.64716737224351761</v>
      </c>
      <c r="I55" s="79">
        <f t="shared" si="33"/>
        <v>0.623850331163052</v>
      </c>
      <c r="J55" s="79">
        <f t="shared" si="33"/>
        <v>0.60035830399682821</v>
      </c>
      <c r="K55" s="79">
        <f t="shared" si="33"/>
        <v>0.57668736449183344</v>
      </c>
      <c r="L55" s="79">
        <f t="shared" si="33"/>
        <v>0.55283337080082862</v>
      </c>
      <c r="M55" s="79">
        <f t="shared" si="33"/>
        <v>0.52879196615434265</v>
      </c>
      <c r="N55" s="79">
        <f t="shared" si="33"/>
        <v>0.50455857939682913</v>
      </c>
      <c r="O55" s="79">
        <f t="shared" si="33"/>
        <v>0.48012842538813932</v>
      </c>
      <c r="P55" s="79">
        <f t="shared" si="33"/>
        <v>0.45549650527141328</v>
      </c>
      <c r="Q55" s="79">
        <f t="shared" si="33"/>
        <v>0.43065760660840496</v>
      </c>
      <c r="R55" s="79">
        <f t="shared" si="33"/>
        <v>0.41371842945086307</v>
      </c>
      <c r="S55" s="81">
        <f>$H$43</f>
        <v>0.15000000000000002</v>
      </c>
    </row>
    <row r="56" spans="2:19" x14ac:dyDescent="0.3">
      <c r="B56" s="75" t="str">
        <f t="shared" si="32"/>
        <v>LTV With 20.0% Reduction</v>
      </c>
      <c r="C56" s="70"/>
      <c r="D56" s="79">
        <f t="shared" si="33"/>
        <v>0.78492889363668072</v>
      </c>
      <c r="E56" s="79">
        <f t="shared" si="33"/>
        <v>0.76086112647799053</v>
      </c>
      <c r="F56" s="79">
        <f t="shared" si="33"/>
        <v>0.73662181308243568</v>
      </c>
      <c r="G56" s="79">
        <f t="shared" si="33"/>
        <v>0.71220770815592882</v>
      </c>
      <c r="H56" s="79">
        <f t="shared" si="33"/>
        <v>0.68761533300873734</v>
      </c>
      <c r="I56" s="79">
        <f t="shared" si="33"/>
        <v>0.66284097686074273</v>
      </c>
      <c r="J56" s="79">
        <f t="shared" si="33"/>
        <v>0.63788069799662983</v>
      </c>
      <c r="K56" s="79">
        <f t="shared" si="33"/>
        <v>0.61273032477257305</v>
      </c>
      <c r="L56" s="79">
        <f t="shared" si="33"/>
        <v>0.58738545647588036</v>
      </c>
      <c r="M56" s="79">
        <f t="shared" si="33"/>
        <v>0.56184146403898905</v>
      </c>
      <c r="N56" s="79">
        <f t="shared" si="33"/>
        <v>0.53609349060913092</v>
      </c>
      <c r="O56" s="79">
        <f t="shared" si="33"/>
        <v>0.51013645197489799</v>
      </c>
      <c r="P56" s="79">
        <f t="shared" si="33"/>
        <v>0.48396503685087655</v>
      </c>
      <c r="Q56" s="79">
        <f t="shared" si="33"/>
        <v>0.4575737070214303</v>
      </c>
      <c r="R56" s="79">
        <f t="shared" si="33"/>
        <v>0.43957583129154193</v>
      </c>
      <c r="S56" s="81">
        <f>$I$43</f>
        <v>0.2</v>
      </c>
    </row>
    <row r="57" spans="2:19" ht="4.95" customHeight="1" x14ac:dyDescent="0.3">
      <c r="B57" s="75"/>
      <c r="C57" s="70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81"/>
    </row>
    <row r="58" spans="2:19" x14ac:dyDescent="0.3">
      <c r="B58" s="75" t="str">
        <f>"NOI DSCR With "&amp;TEXT(S58,"0.0%")&amp;" Reduction"</f>
        <v>NOI DSCR With 0.0% Reduction</v>
      </c>
      <c r="C58" s="70"/>
      <c r="D58" s="84">
        <f>(MAX(D46:E46))/-D$7</f>
        <v>-1.2657895938284893</v>
      </c>
      <c r="E58" s="84">
        <f t="shared" ref="E58:R58" si="34">(MAX(E46:F46))/-E$7</f>
        <v>-1.2911053857050592</v>
      </c>
      <c r="F58" s="84">
        <f t="shared" si="34"/>
        <v>-1.3169274934191604</v>
      </c>
      <c r="G58" s="84">
        <f t="shared" si="34"/>
        <v>-1.3432660432875434</v>
      </c>
      <c r="H58" s="84">
        <f t="shared" si="34"/>
        <v>-1.3701313641532944</v>
      </c>
      <c r="I58" s="84">
        <f t="shared" si="34"/>
        <v>-1.3975339914363603</v>
      </c>
      <c r="J58" s="84">
        <f t="shared" si="34"/>
        <v>-1.4254846712650873</v>
      </c>
      <c r="K58" s="84">
        <f t="shared" si="34"/>
        <v>-1.453994364690389</v>
      </c>
      <c r="L58" s="84">
        <f t="shared" si="34"/>
        <v>-1.4830742519841971</v>
      </c>
      <c r="M58" s="84">
        <f t="shared" si="34"/>
        <v>-1.5127357370238808</v>
      </c>
      <c r="N58" s="84">
        <f t="shared" si="34"/>
        <v>-1.5429904517643585</v>
      </c>
      <c r="O58" s="84">
        <f t="shared" si="34"/>
        <v>-1.5738502607996454</v>
      </c>
      <c r="P58" s="84">
        <f t="shared" si="34"/>
        <v>-1.6053272660156386</v>
      </c>
      <c r="Q58" s="84">
        <f t="shared" si="34"/>
        <v>-1.6374338113359512</v>
      </c>
      <c r="R58" s="84">
        <f t="shared" si="34"/>
        <v>-1.6374338113359512</v>
      </c>
      <c r="S58" s="81">
        <f>$E$43</f>
        <v>0</v>
      </c>
    </row>
    <row r="59" spans="2:19" x14ac:dyDescent="0.3">
      <c r="B59" s="75" t="str">
        <f t="shared" ref="B59:B62" si="35">"NOI DSCR With "&amp;TEXT(S59,"0.0%")&amp;" Reduction"</f>
        <v>NOI DSCR With 5.0% Reduction</v>
      </c>
      <c r="C59" s="70"/>
      <c r="D59" s="84">
        <f t="shared" ref="D59:R62" si="36">(MAX(D47:E47))/-D$7</f>
        <v>-1.2025001141370648</v>
      </c>
      <c r="E59" s="84">
        <f t="shared" si="36"/>
        <v>-1.2265501164198063</v>
      </c>
      <c r="F59" s="84">
        <f t="shared" si="36"/>
        <v>-1.2510811187482023</v>
      </c>
      <c r="G59" s="84">
        <f t="shared" si="36"/>
        <v>-1.2761027411231662</v>
      </c>
      <c r="H59" s="84">
        <f t="shared" si="36"/>
        <v>-1.3016247959456295</v>
      </c>
      <c r="I59" s="84">
        <f t="shared" si="36"/>
        <v>-1.3276572918645422</v>
      </c>
      <c r="J59" s="84">
        <f t="shared" si="36"/>
        <v>-1.3542104377018329</v>
      </c>
      <c r="K59" s="84">
        <f t="shared" si="36"/>
        <v>-1.3812946464558695</v>
      </c>
      <c r="L59" s="84">
        <f t="shared" si="36"/>
        <v>-1.4089205393849871</v>
      </c>
      <c r="M59" s="84">
        <f t="shared" si="36"/>
        <v>-1.4370989501726867</v>
      </c>
      <c r="N59" s="84">
        <f t="shared" si="36"/>
        <v>-1.4658409291761403</v>
      </c>
      <c r="O59" s="84">
        <f t="shared" si="36"/>
        <v>-1.4951577477596634</v>
      </c>
      <c r="P59" s="84">
        <f t="shared" si="36"/>
        <v>-1.5250609027148565</v>
      </c>
      <c r="Q59" s="84">
        <f t="shared" si="36"/>
        <v>-1.5555621207691535</v>
      </c>
      <c r="R59" s="84">
        <f t="shared" si="36"/>
        <v>-1.5555621207691535</v>
      </c>
      <c r="S59" s="81">
        <f>$F$43</f>
        <v>0.05</v>
      </c>
    </row>
    <row r="60" spans="2:19" x14ac:dyDescent="0.3">
      <c r="B60" s="75" t="str">
        <f t="shared" si="35"/>
        <v>NOI DSCR With 10.0% Reduction</v>
      </c>
      <c r="C60" s="70"/>
      <c r="D60" s="84">
        <f t="shared" si="36"/>
        <v>-1.1392106344456403</v>
      </c>
      <c r="E60" s="84">
        <f t="shared" si="36"/>
        <v>-1.1619948471345531</v>
      </c>
      <c r="F60" s="84">
        <f t="shared" si="36"/>
        <v>-1.1852347440772444</v>
      </c>
      <c r="G60" s="84">
        <f t="shared" si="36"/>
        <v>-1.2089394389587891</v>
      </c>
      <c r="H60" s="84">
        <f t="shared" si="36"/>
        <v>-1.2331182277379649</v>
      </c>
      <c r="I60" s="84">
        <f t="shared" si="36"/>
        <v>-1.2577805922927241</v>
      </c>
      <c r="J60" s="84">
        <f t="shared" si="36"/>
        <v>-1.2829362041385786</v>
      </c>
      <c r="K60" s="84">
        <f t="shared" si="36"/>
        <v>-1.3085949282213503</v>
      </c>
      <c r="L60" s="84">
        <f t="shared" si="36"/>
        <v>-1.3347668267857773</v>
      </c>
      <c r="M60" s="84">
        <f t="shared" si="36"/>
        <v>-1.3614621633214927</v>
      </c>
      <c r="N60" s="84">
        <f t="shared" si="36"/>
        <v>-1.3886914065879226</v>
      </c>
      <c r="O60" s="84">
        <f t="shared" si="36"/>
        <v>-1.4164652347196811</v>
      </c>
      <c r="P60" s="84">
        <f t="shared" si="36"/>
        <v>-1.4447945394140747</v>
      </c>
      <c r="Q60" s="84">
        <f t="shared" si="36"/>
        <v>-1.4736904302023561</v>
      </c>
      <c r="R60" s="84">
        <f t="shared" si="36"/>
        <v>-1.4736904302023561</v>
      </c>
      <c r="S60" s="81">
        <f>$G$43</f>
        <v>0.1</v>
      </c>
    </row>
    <row r="61" spans="2:19" x14ac:dyDescent="0.3">
      <c r="B61" s="75" t="str">
        <f t="shared" si="35"/>
        <v>NOI DSCR With 15.0% Reduction</v>
      </c>
      <c r="C61" s="70"/>
      <c r="D61" s="84">
        <f t="shared" si="36"/>
        <v>-1.075921154754216</v>
      </c>
      <c r="E61" s="84">
        <f t="shared" si="36"/>
        <v>-1.0974395778493002</v>
      </c>
      <c r="F61" s="84">
        <f t="shared" si="36"/>
        <v>-1.1193883694062863</v>
      </c>
      <c r="G61" s="84">
        <f t="shared" si="36"/>
        <v>-1.1417761367944119</v>
      </c>
      <c r="H61" s="84">
        <f t="shared" si="36"/>
        <v>-1.1646116595303002</v>
      </c>
      <c r="I61" s="84">
        <f t="shared" si="36"/>
        <v>-1.1879038927209062</v>
      </c>
      <c r="J61" s="84">
        <f t="shared" si="36"/>
        <v>-1.211661970575324</v>
      </c>
      <c r="K61" s="84">
        <f t="shared" si="36"/>
        <v>-1.2358952099868308</v>
      </c>
      <c r="L61" s="84">
        <f t="shared" si="36"/>
        <v>-1.2606131141865673</v>
      </c>
      <c r="M61" s="84">
        <f t="shared" si="36"/>
        <v>-1.2858253764702987</v>
      </c>
      <c r="N61" s="84">
        <f t="shared" si="36"/>
        <v>-1.3115418839997046</v>
      </c>
      <c r="O61" s="84">
        <f t="shared" si="36"/>
        <v>-1.3377727216796989</v>
      </c>
      <c r="P61" s="84">
        <f t="shared" si="36"/>
        <v>-1.3645281761132928</v>
      </c>
      <c r="Q61" s="84">
        <f t="shared" si="36"/>
        <v>-1.3918187396355586</v>
      </c>
      <c r="R61" s="84">
        <f t="shared" si="36"/>
        <v>-1.3918187396355586</v>
      </c>
      <c r="S61" s="81">
        <f>$H$43</f>
        <v>0.15000000000000002</v>
      </c>
    </row>
    <row r="62" spans="2:19" x14ac:dyDescent="0.3">
      <c r="B62" s="75" t="str">
        <f t="shared" si="35"/>
        <v>NOI DSCR With 20.0% Reduction</v>
      </c>
      <c r="C62" s="70"/>
      <c r="D62" s="84">
        <f t="shared" si="36"/>
        <v>-1.0126316750627915</v>
      </c>
      <c r="E62" s="84">
        <f t="shared" si="36"/>
        <v>-1.0328843085640473</v>
      </c>
      <c r="F62" s="84">
        <f t="shared" si="36"/>
        <v>-1.0535419947353282</v>
      </c>
      <c r="G62" s="84">
        <f t="shared" si="36"/>
        <v>-1.0746128346300348</v>
      </c>
      <c r="H62" s="84">
        <f t="shared" si="36"/>
        <v>-1.0961050913226356</v>
      </c>
      <c r="I62" s="84">
        <f t="shared" si="36"/>
        <v>-1.1180271931490882</v>
      </c>
      <c r="J62" s="84">
        <f t="shared" si="36"/>
        <v>-1.1403877370120699</v>
      </c>
      <c r="K62" s="84">
        <f t="shared" si="36"/>
        <v>-1.1631954917523113</v>
      </c>
      <c r="L62" s="84">
        <f t="shared" si="36"/>
        <v>-1.1864594015873575</v>
      </c>
      <c r="M62" s="84">
        <f t="shared" si="36"/>
        <v>-1.2101885896191047</v>
      </c>
      <c r="N62" s="84">
        <f t="shared" si="36"/>
        <v>-1.2343923614114867</v>
      </c>
      <c r="O62" s="84">
        <f t="shared" si="36"/>
        <v>-1.2590802086397166</v>
      </c>
      <c r="P62" s="84">
        <f t="shared" si="36"/>
        <v>-1.284261812812511</v>
      </c>
      <c r="Q62" s="84">
        <f t="shared" si="36"/>
        <v>-1.3099470490687612</v>
      </c>
      <c r="R62" s="84">
        <f t="shared" si="36"/>
        <v>-1.3099470490687612</v>
      </c>
      <c r="S62" s="81">
        <f>$I$43</f>
        <v>0.2</v>
      </c>
    </row>
    <row r="63" spans="2:19" ht="4.95" customHeight="1" x14ac:dyDescent="0.3">
      <c r="B63" s="70"/>
      <c r="C63" s="70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</row>
    <row r="64" spans="2:19" x14ac:dyDescent="0.3">
      <c r="B64" s="75" t="str">
        <f>"Refi. Proceeds With "&amp;TEXT(S64,"0.0%")&amp;" Reduction"</f>
        <v>Refi. Proceeds With 0.0% Reduction</v>
      </c>
      <c r="C64" s="70"/>
      <c r="D64" s="80">
        <f t="shared" ref="D64:R64" si="37">MIN(MAX(E46,D46)/D$30,-PV(D$25/12,D$27*12,(MAX(D46,E46))/D$26/12,0),D$12*D$22)-D$34</f>
        <v>28978.031027426943</v>
      </c>
      <c r="E64" s="80">
        <f t="shared" si="37"/>
        <v>250052.53123789281</v>
      </c>
      <c r="F64" s="80">
        <f t="shared" si="37"/>
        <v>477863.11678613629</v>
      </c>
      <c r="G64" s="80">
        <f t="shared" si="37"/>
        <v>712631.48567699362</v>
      </c>
      <c r="H64" s="80">
        <f t="shared" si="37"/>
        <v>954587.47407378722</v>
      </c>
      <c r="I64" s="80">
        <f t="shared" si="37"/>
        <v>1203969.3533323342</v>
      </c>
      <c r="J64" s="80">
        <f t="shared" si="37"/>
        <v>1461024.1384739997</v>
      </c>
      <c r="K64" s="80">
        <f t="shared" si="37"/>
        <v>1723695.8449590402</v>
      </c>
      <c r="L64" s="80">
        <f t="shared" si="37"/>
        <v>1966432.072288557</v>
      </c>
      <c r="M64" s="80">
        <f t="shared" si="37"/>
        <v>2217083.7547427248</v>
      </c>
      <c r="N64" s="80">
        <f t="shared" si="37"/>
        <v>2475927.9243276725</v>
      </c>
      <c r="O64" s="80">
        <f t="shared" si="37"/>
        <v>2743251.8613316519</v>
      </c>
      <c r="P64" s="80">
        <f t="shared" si="37"/>
        <v>3019353.4797080178</v>
      </c>
      <c r="Q64" s="80">
        <f t="shared" si="37"/>
        <v>3304541.7270770054</v>
      </c>
      <c r="R64" s="80">
        <f t="shared" si="37"/>
        <v>3438036.2199092917</v>
      </c>
      <c r="S64" s="81">
        <f>$E$43</f>
        <v>0</v>
      </c>
    </row>
    <row r="65" spans="2:19" x14ac:dyDescent="0.3">
      <c r="B65" s="75" t="str">
        <f t="shared" ref="B65:B68" si="38">"Refi. Proceeds With "&amp;TEXT(S65,"0.0%")&amp;" Reduction"</f>
        <v>Refi. Proceeds With 5.0% Reduction</v>
      </c>
      <c r="C65" s="70"/>
      <c r="D65" s="80">
        <f t="shared" ref="D65:R65" si="39">MIN(MAX(E47,D47)/D$30,-PV(D$25/12,D$27*12,(MAX(D47,E47))/D$26/12,0),D$12*D$22)-D$34</f>
        <v>-195260.06421066914</v>
      </c>
      <c r="E65" s="80">
        <f t="shared" si="39"/>
        <v>43946.740242195316</v>
      </c>
      <c r="F65" s="80">
        <f t="shared" si="39"/>
        <v>247005.33153454587</v>
      </c>
      <c r="G65" s="80">
        <f t="shared" si="39"/>
        <v>451095.21399684157</v>
      </c>
      <c r="H65" s="80">
        <f t="shared" si="39"/>
        <v>661807.54020700138</v>
      </c>
      <c r="I65" s="80">
        <f t="shared" si="39"/>
        <v>879372.70684865769</v>
      </c>
      <c r="J65" s="80">
        <f t="shared" si="39"/>
        <v>1104029.6211116109</v>
      </c>
      <c r="K65" s="80">
        <f t="shared" si="39"/>
        <v>1336026.0204614932</v>
      </c>
      <c r="L65" s="80">
        <f t="shared" si="39"/>
        <v>1575618.8045278164</v>
      </c>
      <c r="M65" s="80">
        <f t="shared" si="39"/>
        <v>1823074.3795801783</v>
      </c>
      <c r="N65" s="80">
        <f t="shared" si="39"/>
        <v>2078669.0160616469</v>
      </c>
      <c r="O65" s="80">
        <f t="shared" si="39"/>
        <v>2342689.2196851559</v>
      </c>
      <c r="P65" s="80">
        <f t="shared" si="39"/>
        <v>2615432.1166001474</v>
      </c>
      <c r="Q65" s="80">
        <f t="shared" si="39"/>
        <v>2897205.8531739898</v>
      </c>
      <c r="R65" s="80">
        <f t="shared" si="39"/>
        <v>3035284.2699506814</v>
      </c>
      <c r="S65" s="81">
        <f>$F$43</f>
        <v>0.05</v>
      </c>
    </row>
    <row r="66" spans="2:19" x14ac:dyDescent="0.3">
      <c r="B66" s="75" t="str">
        <f t="shared" si="38"/>
        <v>Refi. Proceeds With 10.0% Reduction</v>
      </c>
      <c r="C66" s="70"/>
      <c r="D66" s="80">
        <f t="shared" ref="D66:R66" si="40">MIN(MAX(E48,D48)/D$30,-PV(D$25/12,D$27*12,(MAX(D48,E48))/D$26/12,0),D$12*D$22)-D$34</f>
        <v>-559545.77849638369</v>
      </c>
      <c r="E66" s="80">
        <f t="shared" si="40"/>
        <v>-325644.73400291987</v>
      </c>
      <c r="F66" s="80">
        <f t="shared" si="40"/>
        <v>-125711.46837887354</v>
      </c>
      <c r="G66" s="80">
        <f t="shared" si="40"/>
        <v>75487.30880927667</v>
      </c>
      <c r="H66" s="80">
        <f t="shared" si="40"/>
        <v>283259.48555618897</v>
      </c>
      <c r="I66" s="80">
        <f t="shared" si="40"/>
        <v>497834.75892550964</v>
      </c>
      <c r="J66" s="80">
        <f t="shared" si="40"/>
        <v>719451.324502239</v>
      </c>
      <c r="K66" s="80">
        <f t="shared" si="40"/>
        <v>948356.19596394617</v>
      </c>
      <c r="L66" s="80">
        <f t="shared" si="40"/>
        <v>1184805.5367670776</v>
      </c>
      <c r="M66" s="80">
        <f t="shared" si="40"/>
        <v>1429065.0044176308</v>
      </c>
      <c r="N66" s="80">
        <f t="shared" si="40"/>
        <v>1681410.1077956213</v>
      </c>
      <c r="O66" s="80">
        <f t="shared" si="40"/>
        <v>1942126.578038658</v>
      </c>
      <c r="P66" s="80">
        <f t="shared" si="40"/>
        <v>2211510.753492278</v>
      </c>
      <c r="Q66" s="80">
        <f t="shared" si="40"/>
        <v>2489869.9792709751</v>
      </c>
      <c r="R66" s="80">
        <f t="shared" si="40"/>
        <v>2632532.3199920757</v>
      </c>
      <c r="S66" s="81">
        <f>$G$43</f>
        <v>0.1</v>
      </c>
    </row>
    <row r="67" spans="2:19" x14ac:dyDescent="0.3">
      <c r="B67" s="75" t="str">
        <f t="shared" si="38"/>
        <v>Refi. Proceeds With 15.0% Reduction</v>
      </c>
      <c r="C67" s="70"/>
      <c r="D67" s="80">
        <f t="shared" ref="D67:R67" si="41">MIN(MAX(E49,D49)/D$30,-PV(D$25/12,D$27*12,(MAX(D49,E49))/D$26/12,0),D$12*D$22)-D$34</f>
        <v>-923831.49278209731</v>
      </c>
      <c r="E67" s="80">
        <f t="shared" si="41"/>
        <v>-695236.20824803505</v>
      </c>
      <c r="F67" s="80">
        <f t="shared" si="41"/>
        <v>-498428.26829229295</v>
      </c>
      <c r="G67" s="80">
        <f t="shared" si="41"/>
        <v>-300120.59637828823</v>
      </c>
      <c r="H67" s="80">
        <f t="shared" si="41"/>
        <v>-95288.569094626233</v>
      </c>
      <c r="I67" s="80">
        <f t="shared" si="41"/>
        <v>116296.81100236159</v>
      </c>
      <c r="J67" s="80">
        <f t="shared" si="41"/>
        <v>334873.0278928671</v>
      </c>
      <c r="K67" s="80">
        <f t="shared" si="41"/>
        <v>560686.37146639731</v>
      </c>
      <c r="L67" s="80">
        <f t="shared" si="41"/>
        <v>793992.26900633518</v>
      </c>
      <c r="M67" s="80">
        <f t="shared" si="41"/>
        <v>1035055.6292550843</v>
      </c>
      <c r="N67" s="80">
        <f t="shared" si="41"/>
        <v>1284151.1995295947</v>
      </c>
      <c r="O67" s="80">
        <f t="shared" si="41"/>
        <v>1541563.9363921611</v>
      </c>
      <c r="P67" s="80">
        <f t="shared" si="41"/>
        <v>1807589.3903844086</v>
      </c>
      <c r="Q67" s="80">
        <f t="shared" si="41"/>
        <v>2082534.1053679613</v>
      </c>
      <c r="R67" s="80">
        <f t="shared" si="41"/>
        <v>2229780.3700334691</v>
      </c>
      <c r="S67" s="81">
        <f>$H$43</f>
        <v>0.15000000000000002</v>
      </c>
    </row>
    <row r="68" spans="2:19" x14ac:dyDescent="0.3">
      <c r="B68" s="75" t="str">
        <f t="shared" si="38"/>
        <v>Refi. Proceeds With 20.0% Reduction</v>
      </c>
      <c r="C68" s="70"/>
      <c r="D68" s="80">
        <f t="shared" ref="D68:R68" si="42">MIN(MAX(E50,D50)/D$30,-PV(D$25/12,D$27*12,(MAX(D50,E50))/D$26/12,0),D$12*D$22)-D$34</f>
        <v>-1288117.2070678119</v>
      </c>
      <c r="E68" s="80">
        <f t="shared" si="42"/>
        <v>-1064827.6824931512</v>
      </c>
      <c r="F68" s="80">
        <f t="shared" si="42"/>
        <v>-871145.06820571143</v>
      </c>
      <c r="G68" s="80">
        <f t="shared" si="42"/>
        <v>-675728.50156585407</v>
      </c>
      <c r="H68" s="80">
        <f t="shared" si="42"/>
        <v>-473836.62374544051</v>
      </c>
      <c r="I68" s="80">
        <f t="shared" si="42"/>
        <v>-265241.13692078646</v>
      </c>
      <c r="J68" s="80">
        <f t="shared" si="42"/>
        <v>-49705.268716501072</v>
      </c>
      <c r="K68" s="80">
        <f t="shared" si="42"/>
        <v>173016.54696885031</v>
      </c>
      <c r="L68" s="80">
        <f t="shared" si="42"/>
        <v>403179.00124559738</v>
      </c>
      <c r="M68" s="80">
        <f t="shared" si="42"/>
        <v>641046.25409253687</v>
      </c>
      <c r="N68" s="80">
        <f t="shared" si="42"/>
        <v>886892.29126356915</v>
      </c>
      <c r="O68" s="80">
        <f t="shared" si="42"/>
        <v>1141001.294745665</v>
      </c>
      <c r="P68" s="80">
        <f t="shared" si="42"/>
        <v>1403668.0272765392</v>
      </c>
      <c r="Q68" s="80">
        <f t="shared" si="42"/>
        <v>1675198.2314649466</v>
      </c>
      <c r="R68" s="80">
        <f t="shared" si="42"/>
        <v>1827028.4200748606</v>
      </c>
      <c r="S68" s="81">
        <f>$I$43</f>
        <v>0.2</v>
      </c>
    </row>
    <row r="69" spans="2:19" ht="4.95" customHeight="1" x14ac:dyDescent="0.3"/>
    <row r="70" spans="2:19" hidden="1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2:19" hidden="1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2:19" hidden="1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2:19" hidden="1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2:19" hidden="1" x14ac:dyDescent="0.3"/>
    <row r="75" spans="2:19" hidden="1" x14ac:dyDescent="0.3"/>
    <row r="76" spans="2:19" hidden="1" x14ac:dyDescent="0.3"/>
    <row r="77" spans="2:19" hidden="1" x14ac:dyDescent="0.3"/>
    <row r="78" spans="2:19" hidden="1" x14ac:dyDescent="0.3"/>
    <row r="79" spans="2:19" hidden="1" x14ac:dyDescent="0.3"/>
    <row r="80" spans="2:19" hidden="1" x14ac:dyDescent="0.3"/>
  </sheetData>
  <conditionalFormatting sqref="D52:R57">
    <cfRule type="expression" dxfId="2" priority="6">
      <formula>D$22&lt;D52</formula>
    </cfRule>
  </conditionalFormatting>
  <conditionalFormatting sqref="D64:R68">
    <cfRule type="expression" dxfId="1" priority="4">
      <formula>D64&lt;0</formula>
    </cfRule>
  </conditionalFormatting>
  <conditionalFormatting sqref="D58:R62">
    <cfRule type="expression" dxfId="0" priority="2">
      <formula>D58&lt;D$26</formula>
    </cfRule>
  </conditionalFormatting>
  <printOptions horizontalCentered="1"/>
  <pageMargins left="0.25" right="0.25" top="0.75" bottom="0.75" header="0.3" footer="0.3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Refinance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SPENCER</dc:creator>
  <cp:lastModifiedBy>BURTON, SPENCER</cp:lastModifiedBy>
  <cp:lastPrinted>2015-09-16T18:19:02Z</cp:lastPrinted>
  <dcterms:created xsi:type="dcterms:W3CDTF">2006-09-16T00:00:00Z</dcterms:created>
  <dcterms:modified xsi:type="dcterms:W3CDTF">2016-10-14T21:01:43Z</dcterms:modified>
</cp:coreProperties>
</file>