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2450"/>
  </bookViews>
  <sheets>
    <sheet name="Investor Returns" sheetId="2" r:id="rId1"/>
  </sheets>
  <definedNames>
    <definedName name="_Order1" hidden="1">0</definedName>
    <definedName name="Equity_Share_LP">'Investor Returns'!$C$9</definedName>
    <definedName name="Equity_Share_Sponsor">'Investor Returns'!$C$8</definedName>
    <definedName name="IntroPrintArea" hidden="1">#REF!</definedName>
    <definedName name="Preferred_Return">'Investor Returns'!$E$13</definedName>
    <definedName name="Promote_Structure">'Investor Returns'!$B$12:$I$16</definedName>
    <definedName name="Total_Equity">'Investor Returns'!$D$10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5" i="2"/>
  <c r="H14" i="2"/>
  <c r="E47" i="2" l="1"/>
  <c r="F51" i="2" l="1"/>
  <c r="F42" i="2"/>
  <c r="F57" i="2" l="1"/>
  <c r="F46" i="2"/>
  <c r="F55" i="2"/>
  <c r="G48" i="2"/>
  <c r="G54" i="2" s="1"/>
  <c r="G51" i="2" s="1"/>
  <c r="G45" i="2"/>
  <c r="F48" i="2"/>
  <c r="F45" i="2"/>
  <c r="F50" i="2"/>
  <c r="F53" i="2"/>
  <c r="M8" i="2"/>
  <c r="E4" i="2"/>
  <c r="G42" i="2" l="1"/>
  <c r="H13" i="2" l="1"/>
  <c r="I16" i="2" l="1"/>
  <c r="I15" i="2" l="1"/>
  <c r="I14" i="2"/>
  <c r="B12" i="2"/>
  <c r="E15" i="2"/>
  <c r="E14" i="2"/>
  <c r="E13" i="2"/>
  <c r="F52" i="2" s="1"/>
  <c r="F37" i="2" l="1"/>
  <c r="D10" i="2" l="1"/>
  <c r="D8" i="2" s="1"/>
  <c r="G33" i="2"/>
  <c r="G53" i="2" s="1"/>
  <c r="G55" i="2" s="1"/>
  <c r="H18" i="2"/>
  <c r="H33" i="2" s="1"/>
  <c r="H53" i="2" s="1"/>
  <c r="F34" i="2"/>
  <c r="G34" i="2" s="1"/>
  <c r="C9" i="2"/>
  <c r="F41" i="2"/>
  <c r="B57" i="2"/>
  <c r="F62" i="2"/>
  <c r="F69" i="2" s="1"/>
  <c r="B66" i="2"/>
  <c r="B72" i="2"/>
  <c r="B81" i="2"/>
  <c r="B87" i="2"/>
  <c r="B94" i="2"/>
  <c r="F36" i="2"/>
  <c r="F43" i="2" l="1"/>
  <c r="F44" i="2"/>
  <c r="F21" i="2" s="1"/>
  <c r="C76" i="2"/>
  <c r="C61" i="2"/>
  <c r="B68" i="2" s="1"/>
  <c r="D9" i="2"/>
  <c r="F64" i="2"/>
  <c r="I18" i="2"/>
  <c r="H34" i="2"/>
  <c r="C40" i="2"/>
  <c r="B83" i="2" l="1"/>
  <c r="C91" i="2"/>
  <c r="F63" i="2"/>
  <c r="B47" i="2"/>
  <c r="F28" i="2"/>
  <c r="J18" i="2"/>
  <c r="I33" i="2"/>
  <c r="I34" i="2" l="1"/>
  <c r="I53" i="2"/>
  <c r="F65" i="2"/>
  <c r="F47" i="2"/>
  <c r="G41" i="2"/>
  <c r="K18" i="2"/>
  <c r="J33" i="2"/>
  <c r="J34" i="2" l="1"/>
  <c r="J53" i="2"/>
  <c r="G43" i="2"/>
  <c r="G44" i="2"/>
  <c r="G46" i="2" s="1"/>
  <c r="K33" i="2"/>
  <c r="L18" i="2"/>
  <c r="K34" i="2" l="1"/>
  <c r="K53" i="2"/>
  <c r="G28" i="2"/>
  <c r="G21" i="2"/>
  <c r="M18" i="2"/>
  <c r="L33" i="2"/>
  <c r="L34" i="2" l="1"/>
  <c r="L53" i="2"/>
  <c r="M33" i="2"/>
  <c r="N18" i="2"/>
  <c r="M34" i="2" l="1"/>
  <c r="M53" i="2"/>
  <c r="O18" i="2"/>
  <c r="N33" i="2"/>
  <c r="N34" i="2" l="1"/>
  <c r="N53" i="2"/>
  <c r="P18" i="2"/>
  <c r="O33" i="2"/>
  <c r="O34" i="2" l="1"/>
  <c r="O53" i="2"/>
  <c r="P33" i="2"/>
  <c r="Q18" i="2"/>
  <c r="P34" i="2" l="1"/>
  <c r="P53" i="2"/>
  <c r="Q33" i="2"/>
  <c r="Q53" i="2" s="1"/>
  <c r="R18" i="2"/>
  <c r="Q34" i="2" l="1"/>
  <c r="R33" i="2"/>
  <c r="R53" i="2" s="1"/>
  <c r="S18" i="2"/>
  <c r="R34" i="2" l="1"/>
  <c r="T18" i="2"/>
  <c r="S33" i="2"/>
  <c r="S53" i="2" s="1"/>
  <c r="U18" i="2" l="1"/>
  <c r="T33" i="2"/>
  <c r="T53" i="2" s="1"/>
  <c r="S34" i="2"/>
  <c r="U33" i="2" l="1"/>
  <c r="U53" i="2" s="1"/>
  <c r="T34" i="2"/>
  <c r="U34" i="2" l="1"/>
  <c r="I13" i="2" l="1"/>
  <c r="F54" i="2" l="1"/>
  <c r="G50" i="2" s="1"/>
  <c r="G47" i="2" l="1"/>
  <c r="H41" i="2"/>
  <c r="F77" i="2"/>
  <c r="F58" i="2"/>
  <c r="F66" i="2" s="1"/>
  <c r="G52" i="2" l="1"/>
  <c r="F78" i="2"/>
  <c r="F79" i="2"/>
  <c r="F84" i="2"/>
  <c r="H43" i="2"/>
  <c r="H45" i="2" s="1"/>
  <c r="H44" i="2"/>
  <c r="F68" i="2"/>
  <c r="F67" i="2"/>
  <c r="G62" i="2" s="1"/>
  <c r="F70" i="2"/>
  <c r="G65" i="2"/>
  <c r="G57" i="2" l="1"/>
  <c r="H50" i="2"/>
  <c r="G58" i="2"/>
  <c r="H47" i="2"/>
  <c r="H46" i="2"/>
  <c r="I41" i="2" s="1"/>
  <c r="F80" i="2"/>
  <c r="F71" i="2"/>
  <c r="F72" i="2" s="1"/>
  <c r="F73" i="2" s="1"/>
  <c r="F81" i="2" s="1"/>
  <c r="H48" i="2"/>
  <c r="H42" i="2" s="1"/>
  <c r="G63" i="2"/>
  <c r="G69" i="2"/>
  <c r="G64" i="2"/>
  <c r="H21" i="2"/>
  <c r="H28" i="2"/>
  <c r="I43" i="2" l="1"/>
  <c r="I45" i="2" s="1"/>
  <c r="I48" i="2" s="1"/>
  <c r="I42" i="2" s="1"/>
  <c r="G66" i="2"/>
  <c r="G70" i="2" s="1"/>
  <c r="G71" i="2" s="1"/>
  <c r="G72" i="2" s="1"/>
  <c r="G73" i="2" s="1"/>
  <c r="H52" i="2"/>
  <c r="H55" i="2" s="1"/>
  <c r="I44" i="2"/>
  <c r="I21" i="2" s="1"/>
  <c r="F85" i="2"/>
  <c r="F83" i="2"/>
  <c r="H65" i="2"/>
  <c r="H54" i="2"/>
  <c r="F82" i="2"/>
  <c r="G77" i="2" s="1"/>
  <c r="I28" i="2" l="1"/>
  <c r="H51" i="2"/>
  <c r="H57" i="2"/>
  <c r="I50" i="2"/>
  <c r="G68" i="2"/>
  <c r="G67" i="2"/>
  <c r="H62" i="2" s="1"/>
  <c r="H69" i="2" s="1"/>
  <c r="I47" i="2"/>
  <c r="I46" i="2"/>
  <c r="J41" i="2" s="1"/>
  <c r="J43" i="2" s="1"/>
  <c r="J45" i="2" s="1"/>
  <c r="J48" i="2" s="1"/>
  <c r="I54" i="2"/>
  <c r="I65" i="2"/>
  <c r="H58" i="2"/>
  <c r="F86" i="2"/>
  <c r="F87" i="2" s="1"/>
  <c r="F88" i="2" s="1"/>
  <c r="F92" i="2" s="1"/>
  <c r="F20" i="2" s="1"/>
  <c r="G78" i="2"/>
  <c r="G80" i="2"/>
  <c r="G84" i="2"/>
  <c r="G79" i="2"/>
  <c r="I57" i="2" l="1"/>
  <c r="H64" i="2"/>
  <c r="H63" i="2"/>
  <c r="H66" i="2" s="1"/>
  <c r="J44" i="2"/>
  <c r="J46" i="2" s="1"/>
  <c r="K41" i="2" s="1"/>
  <c r="I52" i="2"/>
  <c r="I55" i="2" s="1"/>
  <c r="I58" i="2"/>
  <c r="J54" i="2"/>
  <c r="J42" i="2"/>
  <c r="G81" i="2"/>
  <c r="G85" i="2" s="1"/>
  <c r="G86" i="2" s="1"/>
  <c r="G87" i="2" s="1"/>
  <c r="G88" i="2" s="1"/>
  <c r="G92" i="2" s="1"/>
  <c r="F23" i="2"/>
  <c r="F93" i="2"/>
  <c r="F27" i="2" s="1"/>
  <c r="J65" i="2"/>
  <c r="J47" i="2" l="1"/>
  <c r="J57" i="2"/>
  <c r="I51" i="2"/>
  <c r="H68" i="2"/>
  <c r="K44" i="2"/>
  <c r="K43" i="2"/>
  <c r="K45" i="2" s="1"/>
  <c r="K48" i="2" s="1"/>
  <c r="K42" i="2" s="1"/>
  <c r="J28" i="2"/>
  <c r="J21" i="2"/>
  <c r="J50" i="2"/>
  <c r="H67" i="2"/>
  <c r="I62" i="2" s="1"/>
  <c r="I64" i="2" s="1"/>
  <c r="H70" i="2"/>
  <c r="H71" i="2" s="1"/>
  <c r="H72" i="2" s="1"/>
  <c r="H73" i="2" s="1"/>
  <c r="G82" i="2"/>
  <c r="H77" i="2" s="1"/>
  <c r="H78" i="2" s="1"/>
  <c r="G83" i="2"/>
  <c r="G93" i="2"/>
  <c r="G27" i="2" s="1"/>
  <c r="G30" i="2" s="1"/>
  <c r="F30" i="2"/>
  <c r="G20" i="2"/>
  <c r="K28" i="2"/>
  <c r="F94" i="2"/>
  <c r="F95" i="2" s="1"/>
  <c r="K54" i="2" l="1"/>
  <c r="K57" i="2" s="1"/>
  <c r="K65" i="2"/>
  <c r="K46" i="2"/>
  <c r="L41" i="2" s="1"/>
  <c r="L44" i="2" s="1"/>
  <c r="K47" i="2"/>
  <c r="K21" i="2"/>
  <c r="J52" i="2"/>
  <c r="I63" i="2"/>
  <c r="I66" i="2" s="1"/>
  <c r="I70" i="2" s="1"/>
  <c r="I71" i="2" s="1"/>
  <c r="J58" i="2"/>
  <c r="I69" i="2"/>
  <c r="H80" i="2"/>
  <c r="H81" i="2" s="1"/>
  <c r="H84" i="2"/>
  <c r="H79" i="2"/>
  <c r="G94" i="2"/>
  <c r="G95" i="2" s="1"/>
  <c r="G23" i="2"/>
  <c r="L43" i="2" l="1"/>
  <c r="L45" i="2" s="1"/>
  <c r="L48" i="2" s="1"/>
  <c r="L42" i="2" s="1"/>
  <c r="J55" i="2"/>
  <c r="J51" i="2"/>
  <c r="I68" i="2"/>
  <c r="I67" i="2"/>
  <c r="J62" i="2" s="1"/>
  <c r="J64" i="2" s="1"/>
  <c r="K50" i="2"/>
  <c r="K58" i="2"/>
  <c r="H82" i="2"/>
  <c r="I77" i="2" s="1"/>
  <c r="I79" i="2" s="1"/>
  <c r="H83" i="2"/>
  <c r="H85" i="2"/>
  <c r="H86" i="2" s="1"/>
  <c r="H87" i="2" s="1"/>
  <c r="H88" i="2" s="1"/>
  <c r="H92" i="2" s="1"/>
  <c r="L21" i="2"/>
  <c r="L28" i="2"/>
  <c r="I72" i="2"/>
  <c r="I73" i="2" s="1"/>
  <c r="J63" i="2" l="1"/>
  <c r="J66" i="2" s="1"/>
  <c r="J70" i="2" s="1"/>
  <c r="L47" i="2"/>
  <c r="L46" i="2"/>
  <c r="M41" i="2" s="1"/>
  <c r="M44" i="2" s="1"/>
  <c r="L54" i="2"/>
  <c r="L57" i="2" s="1"/>
  <c r="L58" i="2" s="1"/>
  <c r="L65" i="2"/>
  <c r="J69" i="2"/>
  <c r="K52" i="2"/>
  <c r="K51" i="2" s="1"/>
  <c r="I84" i="2"/>
  <c r="I78" i="2"/>
  <c r="I80" i="2"/>
  <c r="M43" i="2"/>
  <c r="M45" i="2" s="1"/>
  <c r="H93" i="2"/>
  <c r="H27" i="2" s="1"/>
  <c r="J71" i="2"/>
  <c r="J72" i="2" s="1"/>
  <c r="J73" i="2" s="1"/>
  <c r="J67" i="2"/>
  <c r="K62" i="2" s="1"/>
  <c r="H20" i="2"/>
  <c r="J68" i="2" l="1"/>
  <c r="K55" i="2"/>
  <c r="L50" i="2" s="1"/>
  <c r="I81" i="2"/>
  <c r="I85" i="2" s="1"/>
  <c r="I86" i="2" s="1"/>
  <c r="I87" i="2" s="1"/>
  <c r="I88" i="2" s="1"/>
  <c r="I92" i="2" s="1"/>
  <c r="H94" i="2"/>
  <c r="H95" i="2" s="1"/>
  <c r="M47" i="2"/>
  <c r="M48" i="2"/>
  <c r="M42" i="2" s="1"/>
  <c r="H23" i="2"/>
  <c r="H30" i="2"/>
  <c r="M28" i="2"/>
  <c r="M21" i="2"/>
  <c r="K63" i="2"/>
  <c r="K66" i="2" s="1"/>
  <c r="K70" i="2" s="1"/>
  <c r="K69" i="2"/>
  <c r="K64" i="2"/>
  <c r="M46" i="2"/>
  <c r="N41" i="2" s="1"/>
  <c r="L52" i="2" l="1"/>
  <c r="L51" i="2" s="1"/>
  <c r="I83" i="2"/>
  <c r="I82" i="2"/>
  <c r="J77" i="2" s="1"/>
  <c r="J84" i="2" s="1"/>
  <c r="K67" i="2"/>
  <c r="L62" i="2" s="1"/>
  <c r="L63" i="2" s="1"/>
  <c r="L66" i="2" s="1"/>
  <c r="L70" i="2" s="1"/>
  <c r="I93" i="2"/>
  <c r="I94" i="2" s="1"/>
  <c r="I95" i="2" s="1"/>
  <c r="I20" i="2"/>
  <c r="N43" i="2"/>
  <c r="N44" i="2"/>
  <c r="K71" i="2"/>
  <c r="K72" i="2" s="1"/>
  <c r="K73" i="2" s="1"/>
  <c r="K68" i="2"/>
  <c r="M65" i="2"/>
  <c r="M54" i="2"/>
  <c r="M57" i="2" l="1"/>
  <c r="L55" i="2"/>
  <c r="M50" i="2" s="1"/>
  <c r="J80" i="2"/>
  <c r="J78" i="2"/>
  <c r="J79" i="2"/>
  <c r="L64" i="2"/>
  <c r="L67" i="2" s="1"/>
  <c r="M62" i="2" s="1"/>
  <c r="M63" i="2" s="1"/>
  <c r="L69" i="2"/>
  <c r="I27" i="2"/>
  <c r="I30" i="2" s="1"/>
  <c r="L71" i="2"/>
  <c r="L72" i="2" s="1"/>
  <c r="L73" i="2" s="1"/>
  <c r="I23" i="2"/>
  <c r="N45" i="2"/>
  <c r="M58" i="2"/>
  <c r="N21" i="2"/>
  <c r="N28" i="2"/>
  <c r="M52" i="2" l="1"/>
  <c r="J81" i="2"/>
  <c r="J85" i="2" s="1"/>
  <c r="J86" i="2" s="1"/>
  <c r="J87" i="2" s="1"/>
  <c r="J88" i="2" s="1"/>
  <c r="J92" i="2" s="1"/>
  <c r="J20" i="2" s="1"/>
  <c r="J23" i="2" s="1"/>
  <c r="L68" i="2"/>
  <c r="M64" i="2"/>
  <c r="M69" i="2"/>
  <c r="M66" i="2"/>
  <c r="N48" i="2"/>
  <c r="N42" i="2" s="1"/>
  <c r="N47" i="2"/>
  <c r="N46" i="2"/>
  <c r="O41" i="2" s="1"/>
  <c r="M55" i="2" l="1"/>
  <c r="N50" i="2" s="1"/>
  <c r="N52" i="2" s="1"/>
  <c r="M51" i="2"/>
  <c r="J93" i="2"/>
  <c r="J27" i="2" s="1"/>
  <c r="J30" i="2" s="1"/>
  <c r="J83" i="2"/>
  <c r="J82" i="2"/>
  <c r="K77" i="2" s="1"/>
  <c r="M67" i="2"/>
  <c r="N62" i="2" s="1"/>
  <c r="N64" i="2" s="1"/>
  <c r="M68" i="2"/>
  <c r="M70" i="2"/>
  <c r="M71" i="2" s="1"/>
  <c r="N65" i="2"/>
  <c r="N54" i="2"/>
  <c r="O43" i="2"/>
  <c r="O45" i="2" s="1"/>
  <c r="O48" i="2" s="1"/>
  <c r="O44" i="2"/>
  <c r="N51" i="2" l="1"/>
  <c r="N55" i="2"/>
  <c r="O50" i="2" s="1"/>
  <c r="N57" i="2"/>
  <c r="N58" i="2" s="1"/>
  <c r="J94" i="2"/>
  <c r="J95" i="2" s="1"/>
  <c r="N63" i="2"/>
  <c r="K80" i="2"/>
  <c r="K79" i="2"/>
  <c r="K78" i="2"/>
  <c r="K84" i="2"/>
  <c r="O65" i="2"/>
  <c r="O42" i="2"/>
  <c r="N69" i="2"/>
  <c r="O46" i="2"/>
  <c r="P41" i="2" s="1"/>
  <c r="O54" i="2"/>
  <c r="O28" i="2"/>
  <c r="O21" i="2"/>
  <c r="M72" i="2"/>
  <c r="M73" i="2" s="1"/>
  <c r="O47" i="2"/>
  <c r="O57" i="2" l="1"/>
  <c r="N66" i="2"/>
  <c r="N70" i="2" s="1"/>
  <c r="N71" i="2" s="1"/>
  <c r="N72" i="2" s="1"/>
  <c r="N73" i="2" s="1"/>
  <c r="P44" i="2"/>
  <c r="P28" i="2" s="1"/>
  <c r="K81" i="2"/>
  <c r="K85" i="2" s="1"/>
  <c r="K86" i="2" s="1"/>
  <c r="K87" i="2" s="1"/>
  <c r="K88" i="2" s="1"/>
  <c r="K92" i="2" s="1"/>
  <c r="K20" i="2" s="1"/>
  <c r="K23" i="2" s="1"/>
  <c r="O52" i="2"/>
  <c r="O51" i="2" s="1"/>
  <c r="P43" i="2"/>
  <c r="P45" i="2" s="1"/>
  <c r="P48" i="2" s="1"/>
  <c r="N67" i="2"/>
  <c r="O62" i="2" s="1"/>
  <c r="O63" i="2" s="1"/>
  <c r="N68" i="2" l="1"/>
  <c r="P21" i="2"/>
  <c r="O55" i="2"/>
  <c r="P50" i="2" s="1"/>
  <c r="O58" i="2"/>
  <c r="O66" i="2" s="1"/>
  <c r="O70" i="2" s="1"/>
  <c r="O71" i="2" s="1"/>
  <c r="O72" i="2" s="1"/>
  <c r="O73" i="2" s="1"/>
  <c r="K83" i="2"/>
  <c r="K82" i="2"/>
  <c r="L77" i="2" s="1"/>
  <c r="L78" i="2" s="1"/>
  <c r="K93" i="2"/>
  <c r="K27" i="2" s="1"/>
  <c r="K30" i="2" s="1"/>
  <c r="P54" i="2"/>
  <c r="P42" i="2"/>
  <c r="P47" i="2"/>
  <c r="P46" i="2"/>
  <c r="Q41" i="2" s="1"/>
  <c r="P65" i="2"/>
  <c r="O69" i="2"/>
  <c r="O64" i="2"/>
  <c r="P57" i="2" l="1"/>
  <c r="O67" i="2"/>
  <c r="P62" i="2" s="1"/>
  <c r="P63" i="2" s="1"/>
  <c r="Q44" i="2"/>
  <c r="Q21" i="2" s="1"/>
  <c r="L79" i="2"/>
  <c r="L80" i="2"/>
  <c r="L84" i="2"/>
  <c r="K94" i="2"/>
  <c r="K95" i="2" s="1"/>
  <c r="P52" i="2"/>
  <c r="P51" i="2" s="1"/>
  <c r="L81" i="2"/>
  <c r="L85" i="2" s="1"/>
  <c r="L86" i="2" s="1"/>
  <c r="L87" i="2" s="1"/>
  <c r="L88" i="2" s="1"/>
  <c r="L92" i="2" s="1"/>
  <c r="Q43" i="2"/>
  <c r="Q45" i="2" s="1"/>
  <c r="Q48" i="2" s="1"/>
  <c r="Q54" i="2" s="1"/>
  <c r="O68" i="2"/>
  <c r="Q28" i="2" l="1"/>
  <c r="P69" i="2"/>
  <c r="P64" i="2"/>
  <c r="Q57" i="2"/>
  <c r="P55" i="2"/>
  <c r="Q50" i="2" s="1"/>
  <c r="P58" i="2"/>
  <c r="L82" i="2"/>
  <c r="M77" i="2" s="1"/>
  <c r="M84" i="2" s="1"/>
  <c r="Q47" i="2"/>
  <c r="Q65" i="2"/>
  <c r="L20" i="2"/>
  <c r="L23" i="2" s="1"/>
  <c r="L93" i="2"/>
  <c r="L27" i="2" s="1"/>
  <c r="L30" i="2" s="1"/>
  <c r="Q46" i="2"/>
  <c r="R41" i="2" s="1"/>
  <c r="L83" i="2"/>
  <c r="Q42" i="2"/>
  <c r="P66" i="2"/>
  <c r="P68" i="2" l="1"/>
  <c r="R44" i="2"/>
  <c r="R21" i="2" s="1"/>
  <c r="Q52" i="2"/>
  <c r="Q51" i="2" s="1"/>
  <c r="M79" i="2"/>
  <c r="M78" i="2"/>
  <c r="M80" i="2"/>
  <c r="R43" i="2"/>
  <c r="R45" i="2" s="1"/>
  <c r="R48" i="2" s="1"/>
  <c r="R54" i="2" s="1"/>
  <c r="L94" i="2"/>
  <c r="L95" i="2" s="1"/>
  <c r="P70" i="2"/>
  <c r="P71" i="2" s="1"/>
  <c r="P67" i="2"/>
  <c r="Q62" i="2" s="1"/>
  <c r="R57" i="2" l="1"/>
  <c r="Q55" i="2"/>
  <c r="R50" i="2" s="1"/>
  <c r="R28" i="2"/>
  <c r="R46" i="2"/>
  <c r="S41" i="2" s="1"/>
  <c r="S43" i="2" s="1"/>
  <c r="S45" i="2" s="1"/>
  <c r="S48" i="2" s="1"/>
  <c r="Q58" i="2"/>
  <c r="M81" i="2"/>
  <c r="M85" i="2" s="1"/>
  <c r="M86" i="2" s="1"/>
  <c r="M87" i="2" s="1"/>
  <c r="M88" i="2" s="1"/>
  <c r="M92" i="2" s="1"/>
  <c r="R42" i="2"/>
  <c r="R65" i="2"/>
  <c r="R47" i="2"/>
  <c r="Q63" i="2"/>
  <c r="Q66" i="2" s="1"/>
  <c r="Q70" i="2" s="1"/>
  <c r="Q71" i="2" s="1"/>
  <c r="Q72" i="2" s="1"/>
  <c r="Q73" i="2" s="1"/>
  <c r="Q69" i="2"/>
  <c r="Q64" i="2"/>
  <c r="P72" i="2"/>
  <c r="P73" i="2" s="1"/>
  <c r="S44" i="2" l="1"/>
  <c r="M82" i="2"/>
  <c r="N77" i="2" s="1"/>
  <c r="N79" i="2" s="1"/>
  <c r="M83" i="2"/>
  <c r="R52" i="2"/>
  <c r="R51" i="2" s="1"/>
  <c r="M93" i="2"/>
  <c r="M27" i="2" s="1"/>
  <c r="M30" i="2" s="1"/>
  <c r="M20" i="2"/>
  <c r="M23" i="2" s="1"/>
  <c r="S46" i="2"/>
  <c r="T41" i="2" s="1"/>
  <c r="S54" i="2"/>
  <c r="S42" i="2"/>
  <c r="S65" i="2"/>
  <c r="S47" i="2"/>
  <c r="Q68" i="2"/>
  <c r="Q67" i="2"/>
  <c r="R62" i="2" s="1"/>
  <c r="R64" i="2" s="1"/>
  <c r="S57" i="2" l="1"/>
  <c r="N84" i="2"/>
  <c r="N80" i="2"/>
  <c r="R55" i="2"/>
  <c r="S50" i="2" s="1"/>
  <c r="N78" i="2"/>
  <c r="T44" i="2"/>
  <c r="T28" i="2" s="1"/>
  <c r="S21" i="2"/>
  <c r="S28" i="2"/>
  <c r="R58" i="2"/>
  <c r="M94" i="2"/>
  <c r="M95" i="2" s="1"/>
  <c r="T43" i="2"/>
  <c r="T45" i="2" s="1"/>
  <c r="T48" i="2" s="1"/>
  <c r="T42" i="2" s="1"/>
  <c r="R69" i="2"/>
  <c r="R63" i="2"/>
  <c r="R66" i="2" s="1"/>
  <c r="R70" i="2" s="1"/>
  <c r="R71" i="2" s="1"/>
  <c r="R72" i="2" s="1"/>
  <c r="R73" i="2" s="1"/>
  <c r="T21" i="2"/>
  <c r="N81" i="2" l="1"/>
  <c r="N85" i="2" s="1"/>
  <c r="N86" i="2" s="1"/>
  <c r="N87" i="2" s="1"/>
  <c r="N88" i="2" s="1"/>
  <c r="N92" i="2" s="1"/>
  <c r="N20" i="2" s="1"/>
  <c r="N23" i="2" s="1"/>
  <c r="S52" i="2"/>
  <c r="S51" i="2" s="1"/>
  <c r="S58" i="2"/>
  <c r="N83" i="2"/>
  <c r="R68" i="2"/>
  <c r="R67" i="2"/>
  <c r="S62" i="2" s="1"/>
  <c r="S63" i="2" s="1"/>
  <c r="T47" i="2"/>
  <c r="T65" i="2"/>
  <c r="T54" i="2"/>
  <c r="T46" i="2"/>
  <c r="U41" i="2" s="1"/>
  <c r="N82" i="2" l="1"/>
  <c r="O77" i="2" s="1"/>
  <c r="O79" i="2" s="1"/>
  <c r="N93" i="2"/>
  <c r="N27" i="2" s="1"/>
  <c r="N30" i="2" s="1"/>
  <c r="S55" i="2"/>
  <c r="T57" i="2"/>
  <c r="T58" i="2" s="1"/>
  <c r="O84" i="2"/>
  <c r="O78" i="2"/>
  <c r="S66" i="2"/>
  <c r="S70" i="2" s="1"/>
  <c r="S71" i="2" s="1"/>
  <c r="S72" i="2" s="1"/>
  <c r="S73" i="2" s="1"/>
  <c r="S64" i="2"/>
  <c r="S69" i="2"/>
  <c r="U44" i="2"/>
  <c r="U43" i="2"/>
  <c r="U45" i="2" s="1"/>
  <c r="U48" i="2" s="1"/>
  <c r="U42" i="2" s="1"/>
  <c r="N94" i="2" l="1"/>
  <c r="N95" i="2" s="1"/>
  <c r="O80" i="2"/>
  <c r="T50" i="2"/>
  <c r="O81" i="2"/>
  <c r="O85" i="2" s="1"/>
  <c r="O86" i="2" s="1"/>
  <c r="O87" i="2" s="1"/>
  <c r="O88" i="2" s="1"/>
  <c r="O92" i="2" s="1"/>
  <c r="O20" i="2" s="1"/>
  <c r="O23" i="2" s="1"/>
  <c r="S67" i="2"/>
  <c r="T62" i="2" s="1"/>
  <c r="T63" i="2" s="1"/>
  <c r="S68" i="2"/>
  <c r="U47" i="2"/>
  <c r="U21" i="2"/>
  <c r="U28" i="2"/>
  <c r="U65" i="2"/>
  <c r="U46" i="2"/>
  <c r="U54" i="2"/>
  <c r="U57" i="2" l="1"/>
  <c r="T52" i="2"/>
  <c r="T51" i="2" s="1"/>
  <c r="O83" i="2"/>
  <c r="O82" i="2"/>
  <c r="P77" i="2" s="1"/>
  <c r="P78" i="2" s="1"/>
  <c r="O93" i="2"/>
  <c r="O27" i="2" s="1"/>
  <c r="O30" i="2" s="1"/>
  <c r="T64" i="2"/>
  <c r="T69" i="2"/>
  <c r="T66" i="2"/>
  <c r="D28" i="2"/>
  <c r="U58" i="2"/>
  <c r="D21" i="2"/>
  <c r="T55" i="2" l="1"/>
  <c r="U50" i="2" s="1"/>
  <c r="O94" i="2"/>
  <c r="O95" i="2" s="1"/>
  <c r="P79" i="2"/>
  <c r="P84" i="2"/>
  <c r="P80" i="2"/>
  <c r="P81" i="2" s="1"/>
  <c r="P85" i="2" s="1"/>
  <c r="P86" i="2" s="1"/>
  <c r="P87" i="2" s="1"/>
  <c r="P88" i="2" s="1"/>
  <c r="P92" i="2" s="1"/>
  <c r="P93" i="2" s="1"/>
  <c r="P27" i="2" s="1"/>
  <c r="P30" i="2" s="1"/>
  <c r="T68" i="2"/>
  <c r="T70" i="2"/>
  <c r="T71" i="2" s="1"/>
  <c r="T72" i="2" s="1"/>
  <c r="T73" i="2" s="1"/>
  <c r="T67" i="2"/>
  <c r="U62" i="2" s="1"/>
  <c r="U52" i="2" l="1"/>
  <c r="U51" i="2" s="1"/>
  <c r="P83" i="2"/>
  <c r="P82" i="2"/>
  <c r="Q77" i="2" s="1"/>
  <c r="P94" i="2"/>
  <c r="P95" i="2" s="1"/>
  <c r="P20" i="2"/>
  <c r="P23" i="2" s="1"/>
  <c r="U63" i="2"/>
  <c r="U66" i="2" s="1"/>
  <c r="U69" i="2"/>
  <c r="U64" i="2"/>
  <c r="U55" i="2" l="1"/>
  <c r="Q79" i="2"/>
  <c r="Q80" i="2"/>
  <c r="Q78" i="2"/>
  <c r="Q84" i="2"/>
  <c r="U68" i="2"/>
  <c r="E68" i="2" s="1"/>
  <c r="U67" i="2"/>
  <c r="U70" i="2"/>
  <c r="U71" i="2" s="1"/>
  <c r="U72" i="2" s="1"/>
  <c r="U73" i="2" s="1"/>
  <c r="Q81" i="2" l="1"/>
  <c r="Q85" i="2" s="1"/>
  <c r="Q86" i="2" s="1"/>
  <c r="Q87" i="2" s="1"/>
  <c r="Q88" i="2" s="1"/>
  <c r="Q92" i="2" s="1"/>
  <c r="Q20" i="2" s="1"/>
  <c r="Q23" i="2" s="1"/>
  <c r="Q82" i="2" l="1"/>
  <c r="R77" i="2" s="1"/>
  <c r="R79" i="2" s="1"/>
  <c r="Q83" i="2"/>
  <c r="R80" i="2"/>
  <c r="Q93" i="2"/>
  <c r="Q27" i="2" s="1"/>
  <c r="Q30" i="2" s="1"/>
  <c r="R78" i="2" l="1"/>
  <c r="R84" i="2"/>
  <c r="Q94" i="2"/>
  <c r="Q95" i="2" s="1"/>
  <c r="R81" i="2"/>
  <c r="R85" i="2" s="1"/>
  <c r="R82" i="2" l="1"/>
  <c r="S77" i="2" s="1"/>
  <c r="S84" i="2" s="1"/>
  <c r="R83" i="2"/>
  <c r="R86" i="2"/>
  <c r="S80" i="2" l="1"/>
  <c r="S79" i="2"/>
  <c r="S78" i="2"/>
  <c r="R87" i="2"/>
  <c r="R88" i="2" s="1"/>
  <c r="R92" i="2" s="1"/>
  <c r="S81" i="2" l="1"/>
  <c r="S85" i="2" s="1"/>
  <c r="S86" i="2" s="1"/>
  <c r="S87" i="2" s="1"/>
  <c r="S88" i="2" s="1"/>
  <c r="S92" i="2" s="1"/>
  <c r="S20" i="2" s="1"/>
  <c r="S23" i="2" s="1"/>
  <c r="R93" i="2"/>
  <c r="R27" i="2" s="1"/>
  <c r="R30" i="2" s="1"/>
  <c r="R20" i="2"/>
  <c r="R23" i="2" s="1"/>
  <c r="S93" i="2" l="1"/>
  <c r="S27" i="2" s="1"/>
  <c r="S30" i="2" s="1"/>
  <c r="S83" i="2"/>
  <c r="S94" i="2"/>
  <c r="S95" i="2" s="1"/>
  <c r="S82" i="2"/>
  <c r="T77" i="2" s="1"/>
  <c r="R94" i="2"/>
  <c r="R95" i="2" s="1"/>
  <c r="T79" i="2" l="1"/>
  <c r="T78" i="2"/>
  <c r="T80" i="2"/>
  <c r="T84" i="2"/>
  <c r="T81" i="2" l="1"/>
  <c r="T82" i="2" s="1"/>
  <c r="U77" i="2" s="1"/>
  <c r="U84" i="2" s="1"/>
  <c r="T83" i="2"/>
  <c r="T85" i="2" l="1"/>
  <c r="U78" i="2"/>
  <c r="U79" i="2"/>
  <c r="U80" i="2"/>
  <c r="U81" i="2" s="1"/>
  <c r="U85" i="2" s="1"/>
  <c r="U86" i="2" s="1"/>
  <c r="U87" i="2" s="1"/>
  <c r="U88" i="2" s="1"/>
  <c r="U92" i="2" s="1"/>
  <c r="U20" i="2" s="1"/>
  <c r="T86" i="2"/>
  <c r="T87" i="2" s="1"/>
  <c r="T88" i="2" s="1"/>
  <c r="T92" i="2" s="1"/>
  <c r="T93" i="2" l="1"/>
  <c r="T27" i="2" s="1"/>
  <c r="T30" i="2" s="1"/>
  <c r="T94" i="2"/>
  <c r="T95" i="2" s="1"/>
  <c r="T20" i="2"/>
  <c r="T23" i="2" s="1"/>
  <c r="U83" i="2"/>
  <c r="E83" i="2" s="1"/>
  <c r="U82" i="2"/>
  <c r="U23" i="2"/>
  <c r="D23" i="2" s="1"/>
  <c r="U93" i="2"/>
  <c r="U27" i="2" s="1"/>
  <c r="D20" i="2" l="1"/>
  <c r="U94" i="2"/>
  <c r="U95" i="2" s="1"/>
  <c r="D27" i="2"/>
  <c r="U30" i="2"/>
  <c r="D30" i="2" s="1"/>
  <c r="D22" i="2"/>
  <c r="D24" i="2"/>
  <c r="D31" i="2" l="1"/>
  <c r="D29" i="2"/>
  <c r="M7" i="2" s="1"/>
  <c r="M6" i="2" s="1"/>
</calcChain>
</file>

<file path=xl/sharedStrings.xml><?xml version="1.0" encoding="utf-8"?>
<sst xmlns="http://schemas.openxmlformats.org/spreadsheetml/2006/main" count="91" uniqueCount="60">
  <si>
    <t>Cash Flow Remaining</t>
  </si>
  <si>
    <t>Distribution to Sponsor</t>
  </si>
  <si>
    <t>Distribution to LP</t>
  </si>
  <si>
    <t>Hurdle 4</t>
  </si>
  <si>
    <t>.</t>
  </si>
  <si>
    <t>Ending Balance (LP Capital Account)</t>
  </si>
  <si>
    <t>Prior Distributions</t>
  </si>
  <si>
    <t>Contributions from LP</t>
  </si>
  <si>
    <t>Beginning Balance (LP Capital Account)</t>
  </si>
  <si>
    <t>Hurdle 3</t>
  </si>
  <si>
    <t>Hurdle 2</t>
  </si>
  <si>
    <t>Distributions to LP (Hurdle 1)</t>
  </si>
  <si>
    <t>Levered IRR</t>
  </si>
  <si>
    <t>Year Ending</t>
  </si>
  <si>
    <t>Year 0</t>
  </si>
  <si>
    <t>Net Cash Flow For Distribution</t>
  </si>
  <si>
    <t>Sponsor Equity Multiple</t>
  </si>
  <si>
    <t>Sponsor IRR</t>
  </si>
  <si>
    <t>Total Sponsor Profit</t>
  </si>
  <si>
    <t>Total Sponsor Contributions</t>
  </si>
  <si>
    <t>Total Sponsor Distributions</t>
  </si>
  <si>
    <t>Sponsor Returns</t>
  </si>
  <si>
    <t>LP Equity Multiple</t>
  </si>
  <si>
    <t>LP IRR</t>
  </si>
  <si>
    <t>Total LP Profit</t>
  </si>
  <si>
    <t>Total LP Contributions</t>
  </si>
  <si>
    <t>Total LP Distributions</t>
  </si>
  <si>
    <t>Limited Partner (LP) Returns</t>
  </si>
  <si>
    <t>Summary of Investor Level Returns</t>
  </si>
  <si>
    <t>Hurdle 1 (Preferred Return)</t>
  </si>
  <si>
    <t>LP %</t>
  </si>
  <si>
    <t>Sponsor %</t>
  </si>
  <si>
    <t>LP Investors</t>
  </si>
  <si>
    <t>Sponsor</t>
  </si>
  <si>
    <t>Amount</t>
  </si>
  <si>
    <t>%</t>
  </si>
  <si>
    <t>Equity Contributions</t>
  </si>
  <si>
    <t>Levered Before Tax Cash Flow</t>
  </si>
  <si>
    <t>Total Equity</t>
  </si>
  <si>
    <t>Equity Multiple</t>
  </si>
  <si>
    <t>Promote Structure Method</t>
  </si>
  <si>
    <t>IRR</t>
  </si>
  <si>
    <t>Investor Level Returns - Equity Waterfall</t>
  </si>
  <si>
    <t>Return of Capital</t>
  </si>
  <si>
    <t>Return Threshold - Up to:</t>
  </si>
  <si>
    <t>Return Threshold - Greater than:</t>
  </si>
  <si>
    <t>Error Check:</t>
  </si>
  <si>
    <t>Profit Dist.:</t>
  </si>
  <si>
    <t>Net BTCF:</t>
  </si>
  <si>
    <t>Req'd Return by LP to hit Hurdle 2</t>
  </si>
  <si>
    <t>Req'd Return by LP to hit Hurdle 1</t>
  </si>
  <si>
    <t>Req'd Return by LP to hit Hurdle 3</t>
  </si>
  <si>
    <t>Return of Capital &amp; Hurdle 1 (Preferred Return)</t>
  </si>
  <si>
    <t>LP Return of Capital</t>
  </si>
  <si>
    <t>Beginning Balance (Sponsor Capital Account)</t>
  </si>
  <si>
    <t>Sponsor Return of Capital</t>
  </si>
  <si>
    <t>Req'd Return by Sponsor to hit Hurdle 1</t>
  </si>
  <si>
    <t>Contributions from Sponsor</t>
  </si>
  <si>
    <t>Ending Balance (Sponsor Capital Account)</t>
  </si>
  <si>
    <t>Pari Passu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</si>
</sst>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164" formatCode="0.0%"/>
    <numFmt numFmtId="165" formatCode="[$-409]d\-mmm\-yy;@"/>
    <numFmt numFmtId="166" formatCode="&quot;Year&quot;\ 0"/>
    <numFmt numFmtId="167" formatCode="&quot; up to &quot;0.0%\ \I\R\R&quot; to LP&quot;"/>
    <numFmt numFmtId="168" formatCode="0.00&quot;x&quot;"/>
    <numFmt numFmtId="169" formatCode="&quot;&gt;&quot;\ 0.0%\ \I\R\R&quot; to LP&quot;"/>
    <numFmt numFmtId="170" formatCode="&quot; Up to &quot;0.0%\ \I\R\R&quot; to LP&quot;"/>
    <numFmt numFmtId="171" formatCode="0.00&quot;X&quot;"/>
    <numFmt numFmtId="172" formatCode="&quot;&gt;&quot;\ 0.00&quot;X EM to LP&quot;"/>
    <numFmt numFmtId="173" formatCode="&quot;IRR Error Check -&quot;\ 0.0%"/>
    <numFmt numFmtId="174" formatCode="0.000&quot;MM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8"/>
      </left>
      <right/>
      <top style="thick">
        <color theme="8"/>
      </top>
      <bottom style="thin">
        <color auto="1"/>
      </bottom>
      <diagonal/>
    </border>
    <border>
      <left/>
      <right/>
      <top style="thick">
        <color theme="8"/>
      </top>
      <bottom style="thin">
        <color auto="1"/>
      </bottom>
      <diagonal/>
    </border>
    <border>
      <left/>
      <right style="thick">
        <color theme="8"/>
      </right>
      <top style="thick">
        <color theme="8"/>
      </top>
      <bottom style="thin">
        <color auto="1"/>
      </bottom>
      <diagonal/>
    </border>
    <border>
      <left style="thick">
        <color theme="8"/>
      </left>
      <right/>
      <top/>
      <bottom/>
      <diagonal/>
    </border>
    <border>
      <left/>
      <right style="thick">
        <color theme="8"/>
      </right>
      <top/>
      <bottom/>
      <diagonal/>
    </border>
    <border>
      <left style="thick">
        <color theme="8"/>
      </left>
      <right/>
      <top/>
      <bottom style="thin">
        <color auto="1"/>
      </bottom>
      <diagonal/>
    </border>
    <border>
      <left/>
      <right style="thick">
        <color theme="8"/>
      </right>
      <top/>
      <bottom style="thin">
        <color auto="1"/>
      </bottom>
      <diagonal/>
    </border>
    <border>
      <left style="thick">
        <color theme="8"/>
      </left>
      <right/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/>
      <right style="thick">
        <color theme="8"/>
      </right>
      <top/>
      <bottom style="thick">
        <color theme="8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2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right" vertical="center"/>
    </xf>
    <xf numFmtId="0" fontId="0" fillId="3" borderId="1" xfId="0" applyFill="1" applyBorder="1"/>
    <xf numFmtId="169" fontId="6" fillId="3" borderId="1" xfId="0" applyNumberFormat="1" applyFont="1" applyFill="1" applyBorder="1"/>
    <xf numFmtId="167" fontId="5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8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3" borderId="11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12" xfId="0" applyFill="1" applyBorder="1"/>
    <xf numFmtId="0" fontId="4" fillId="3" borderId="13" xfId="0" applyFont="1" applyFill="1" applyBorder="1"/>
    <xf numFmtId="0" fontId="4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9" fontId="6" fillId="3" borderId="0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70" fontId="5" fillId="3" borderId="0" xfId="0" applyNumberFormat="1" applyFont="1" applyFill="1" applyBorder="1" applyAlignment="1">
      <alignment horizontal="left"/>
    </xf>
    <xf numFmtId="9" fontId="5" fillId="3" borderId="0" xfId="0" applyNumberFormat="1" applyFont="1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69" fontId="6" fillId="3" borderId="0" xfId="0" applyNumberFormat="1" applyFont="1" applyFill="1" applyBorder="1"/>
    <xf numFmtId="167" fontId="5" fillId="3" borderId="0" xfId="0" applyNumberFormat="1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0" fillId="3" borderId="11" xfId="0" applyFill="1" applyBorder="1" applyAlignment="1">
      <alignment horizontal="left" indent="1"/>
    </xf>
    <xf numFmtId="6" fontId="5" fillId="3" borderId="0" xfId="0" applyNumberFormat="1" applyFont="1" applyFill="1" applyBorder="1"/>
    <xf numFmtId="10" fontId="5" fillId="3" borderId="0" xfId="0" applyNumberFormat="1" applyFont="1" applyFill="1" applyBorder="1"/>
    <xf numFmtId="168" fontId="5" fillId="3" borderId="0" xfId="0" applyNumberFormat="1" applyFont="1" applyFill="1" applyBorder="1"/>
    <xf numFmtId="0" fontId="10" fillId="3" borderId="11" xfId="0" applyFont="1" applyFill="1" applyBorder="1" applyAlignment="1">
      <alignment horizontal="left" indent="1"/>
    </xf>
    <xf numFmtId="0" fontId="10" fillId="3" borderId="0" xfId="0" applyFont="1" applyFill="1" applyBorder="1"/>
    <xf numFmtId="6" fontId="10" fillId="3" borderId="0" xfId="0" applyNumberFormat="1" applyFont="1" applyFill="1" applyBorder="1"/>
    <xf numFmtId="3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0" fontId="4" fillId="3" borderId="11" xfId="0" applyFont="1" applyFill="1" applyBorder="1"/>
    <xf numFmtId="0" fontId="2" fillId="3" borderId="11" xfId="0" applyFont="1" applyFill="1" applyBorder="1"/>
    <xf numFmtId="0" fontId="2" fillId="3" borderId="0" xfId="0" applyFont="1" applyFill="1" applyBorder="1"/>
    <xf numFmtId="0" fontId="2" fillId="3" borderId="12" xfId="0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9" fontId="6" fillId="3" borderId="0" xfId="0" applyNumberFormat="1" applyFont="1" applyFill="1" applyBorder="1" applyAlignment="1" applyProtection="1">
      <alignment horizontal="center"/>
      <protection locked="0"/>
    </xf>
    <xf numFmtId="0" fontId="8" fillId="3" borderId="11" xfId="0" applyFont="1" applyFill="1" applyBorder="1"/>
    <xf numFmtId="0" fontId="13" fillId="3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6" fontId="5" fillId="3" borderId="0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3" fillId="3" borderId="0" xfId="0" applyFon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10" fontId="5" fillId="3" borderId="0" xfId="0" applyNumberFormat="1" applyFont="1" applyFill="1" applyBorder="1" applyAlignment="1">
      <alignment horizontal="left"/>
    </xf>
    <xf numFmtId="10" fontId="0" fillId="3" borderId="0" xfId="0" applyNumberFormat="1" applyFill="1" applyBorder="1" applyAlignment="1">
      <alignment horizontal="left"/>
    </xf>
    <xf numFmtId="166" fontId="0" fillId="3" borderId="1" xfId="0" applyNumberFormat="1" applyFill="1" applyBorder="1" applyAlignment="1">
      <alignment horizontal="right"/>
    </xf>
    <xf numFmtId="166" fontId="0" fillId="3" borderId="14" xfId="0" applyNumberFormat="1" applyFill="1" applyBorder="1" applyAlignment="1">
      <alignment horizontal="right"/>
    </xf>
    <xf numFmtId="9" fontId="6" fillId="3" borderId="0" xfId="0" applyNumberFormat="1" applyFont="1" applyFill="1" applyBorder="1" applyAlignment="1">
      <alignment horizontal="right"/>
    </xf>
    <xf numFmtId="9" fontId="5" fillId="3" borderId="0" xfId="0" applyNumberFormat="1" applyFont="1" applyFill="1" applyBorder="1" applyAlignment="1">
      <alignment horizontal="right"/>
    </xf>
    <xf numFmtId="10" fontId="0" fillId="3" borderId="0" xfId="0" applyNumberFormat="1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3" fontId="5" fillId="3" borderId="12" xfId="0" applyNumberFormat="1" applyFont="1" applyFill="1" applyBorder="1" applyAlignment="1">
      <alignment horizontal="right"/>
    </xf>
    <xf numFmtId="165" fontId="0" fillId="3" borderId="0" xfId="0" applyNumberFormat="1" applyFill="1" applyBorder="1" applyAlignment="1">
      <alignment horizontal="right"/>
    </xf>
    <xf numFmtId="165" fontId="0" fillId="3" borderId="12" xfId="0" applyNumberFormat="1" applyFill="1" applyBorder="1" applyAlignment="1">
      <alignment horizontal="right"/>
    </xf>
    <xf numFmtId="171" fontId="0" fillId="3" borderId="0" xfId="0" applyNumberForma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0" fillId="3" borderId="12" xfId="0" applyNumberForma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3" fontId="0" fillId="3" borderId="17" xfId="0" applyNumberFormat="1" applyFill="1" applyBorder="1" applyAlignment="1">
      <alignment horizontal="right"/>
    </xf>
    <xf numFmtId="173" fontId="0" fillId="3" borderId="11" xfId="0" applyNumberFormat="1" applyFill="1" applyBorder="1" applyAlignment="1">
      <alignment horizontal="left"/>
    </xf>
    <xf numFmtId="164" fontId="6" fillId="4" borderId="0" xfId="0" applyNumberFormat="1" applyFont="1" applyFill="1" applyBorder="1" applyAlignment="1" applyProtection="1">
      <alignment horizontal="right"/>
      <protection locked="0"/>
    </xf>
    <xf numFmtId="169" fontId="6" fillId="4" borderId="0" xfId="0" applyNumberFormat="1" applyFont="1" applyFill="1" applyBorder="1" applyAlignment="1" applyProtection="1">
      <alignment horizontal="right"/>
      <protection locked="0"/>
    </xf>
    <xf numFmtId="10" fontId="6" fillId="4" borderId="0" xfId="0" applyNumberFormat="1" applyFont="1" applyFill="1" applyBorder="1" applyAlignment="1">
      <alignment horizontal="left"/>
    </xf>
    <xf numFmtId="165" fontId="6" fillId="4" borderId="0" xfId="0" applyNumberFormat="1" applyFont="1" applyFill="1" applyBorder="1" applyAlignment="1" applyProtection="1">
      <alignment horizontal="right"/>
      <protection locked="0"/>
    </xf>
    <xf numFmtId="3" fontId="6" fillId="4" borderId="0" xfId="0" applyNumberFormat="1" applyFont="1" applyFill="1" applyBorder="1" applyAlignment="1" applyProtection="1">
      <alignment horizontal="right"/>
      <protection locked="0"/>
    </xf>
    <xf numFmtId="3" fontId="6" fillId="4" borderId="12" xfId="0" applyNumberFormat="1" applyFont="1" applyFill="1" applyBorder="1" applyAlignment="1" applyProtection="1">
      <alignment horizontal="right"/>
      <protection locked="0"/>
    </xf>
    <xf numFmtId="172" fontId="6" fillId="4" borderId="0" xfId="0" applyNumberFormat="1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left" vertical="center"/>
    </xf>
    <xf numFmtId="174" fontId="11" fillId="3" borderId="5" xfId="0" applyNumberFormat="1" applyFont="1" applyFill="1" applyBorder="1" applyAlignment="1">
      <alignment horizontal="left" vertical="center"/>
    </xf>
    <xf numFmtId="174" fontId="11" fillId="3" borderId="7" xfId="0" applyNumberFormat="1" applyFont="1" applyFill="1" applyBorder="1" applyAlignment="1">
      <alignment horizontal="left" vertical="center"/>
    </xf>
    <xf numFmtId="3" fontId="14" fillId="3" borderId="0" xfId="0" applyNumberFormat="1" applyFont="1" applyFill="1" applyBorder="1" applyAlignment="1">
      <alignment horizontal="right"/>
    </xf>
    <xf numFmtId="10" fontId="15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4" xfId="1"/>
  </cellStyles>
  <dxfs count="15">
    <dxf>
      <numFmt numFmtId="175" formatCode="&quot; up to &quot;0.00&quot;X EM to LP&quot;"/>
    </dxf>
    <dxf>
      <numFmt numFmtId="175" formatCode="&quot; up to &quot;0.00&quot;X EM to LP&quot;"/>
    </dxf>
    <dxf>
      <font>
        <color theme="0"/>
      </font>
      <fill>
        <patternFill>
          <bgColor rgb="FFFF0000"/>
        </patternFill>
      </fill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numFmt numFmtId="175" formatCode="&quot; up to &quot;0.00&quot;X EM to LP&quot;"/>
    </dxf>
    <dxf>
      <font>
        <color theme="0"/>
      </font>
      <fill>
        <patternFill patternType="none">
          <bgColor auto="1"/>
        </patternFill>
      </fill>
    </dxf>
    <dxf>
      <numFmt numFmtId="175" formatCode="&quot; up to &quot;0.00&quot;X EM to LP&quot;"/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89647</xdr:colOff>
      <xdr:row>34</xdr:row>
      <xdr:rowOff>11206</xdr:rowOff>
    </xdr:from>
    <xdr:to>
      <xdr:col>27</xdr:col>
      <xdr:colOff>493059</xdr:colOff>
      <xdr:row>39</xdr:row>
      <xdr:rowOff>78442</xdr:rowOff>
    </xdr:to>
    <xdr:sp macro="" textlink="">
      <xdr:nvSpPr>
        <xdr:cNvPr id="2" name="TextBox 1"/>
        <xdr:cNvSpPr txBox="1"/>
      </xdr:nvSpPr>
      <xdr:spPr>
        <a:xfrm>
          <a:off x="18476259" y="5676900"/>
          <a:ext cx="4168588" cy="8023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Bring in your equity</a:t>
          </a:r>
          <a:r>
            <a:rPr lang="en-US" sz="1100" b="1" baseline="0"/>
            <a:t> cashflow here (Before tax cash flow, but after debt service.)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4</xdr:col>
      <xdr:colOff>156883</xdr:colOff>
      <xdr:row>7</xdr:row>
      <xdr:rowOff>1</xdr:rowOff>
    </xdr:from>
    <xdr:to>
      <xdr:col>8</xdr:col>
      <xdr:colOff>694764</xdr:colOff>
      <xdr:row>10</xdr:row>
      <xdr:rowOff>22413</xdr:rowOff>
    </xdr:to>
    <xdr:sp macro="" textlink="">
      <xdr:nvSpPr>
        <xdr:cNvPr id="3" name="TextBox 2"/>
        <xdr:cNvSpPr txBox="1"/>
      </xdr:nvSpPr>
      <xdr:spPr>
        <a:xfrm>
          <a:off x="3160059" y="784413"/>
          <a:ext cx="4538381" cy="40341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Bring in equity contribution, by partner,</a:t>
          </a:r>
          <a:r>
            <a:rPr lang="en-US" sz="1100" b="1" baseline="0"/>
            <a:t> here.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9</xdr:col>
      <xdr:colOff>145676</xdr:colOff>
      <xdr:row>11</xdr:row>
      <xdr:rowOff>179293</xdr:rowOff>
    </xdr:from>
    <xdr:to>
      <xdr:col>15</xdr:col>
      <xdr:colOff>571500</xdr:colOff>
      <xdr:row>16</xdr:row>
      <xdr:rowOff>100852</xdr:rowOff>
    </xdr:to>
    <xdr:sp macro="" textlink="">
      <xdr:nvSpPr>
        <xdr:cNvPr id="4" name="TextBox 3"/>
        <xdr:cNvSpPr txBox="1"/>
      </xdr:nvSpPr>
      <xdr:spPr>
        <a:xfrm>
          <a:off x="8561294" y="2173940"/>
          <a:ext cx="4919382" cy="8852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Input</a:t>
          </a:r>
          <a:r>
            <a:rPr lang="en-US" sz="1100" b="1" baseline="0"/>
            <a:t> promote structure here.</a:t>
          </a:r>
        </a:p>
        <a:p>
          <a:endParaRPr lang="en-US" sz="1100"/>
        </a:p>
      </xdr:txBody>
    </xdr:sp>
    <xdr:clientData/>
  </xdr:twoCellAnchor>
  <xdr:twoCellAnchor>
    <xdr:from>
      <xdr:col>4</xdr:col>
      <xdr:colOff>22411</xdr:colOff>
      <xdr:row>19</xdr:row>
      <xdr:rowOff>33618</xdr:rowOff>
    </xdr:from>
    <xdr:to>
      <xdr:col>5</xdr:col>
      <xdr:colOff>0</xdr:colOff>
      <xdr:row>31</xdr:row>
      <xdr:rowOff>179294</xdr:rowOff>
    </xdr:to>
    <xdr:sp macro="" textlink="">
      <xdr:nvSpPr>
        <xdr:cNvPr id="5" name="TextBox 4"/>
        <xdr:cNvSpPr txBox="1"/>
      </xdr:nvSpPr>
      <xdr:spPr>
        <a:xfrm>
          <a:off x="3025587" y="2935942"/>
          <a:ext cx="1344707" cy="24316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&lt;---- Return results based</a:t>
          </a:r>
          <a:r>
            <a:rPr lang="en-US" sz="1100" b="1" baseline="0"/>
            <a:t> on assumed promote structure, equity contribution split, and equity cashflow stream.</a:t>
          </a:r>
        </a:p>
        <a:p>
          <a:r>
            <a:rPr lang="en-US" sz="1100" b="1" baseline="0"/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&lt;----</a:t>
          </a:r>
          <a:endParaRPr lang="en-US" sz="1100" b="1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Y96"/>
  <sheetViews>
    <sheetView showGridLines="0" tabSelected="1" zoomScale="85" zoomScaleNormal="85" zoomScaleSheetLayoutView="85" workbookViewId="0">
      <selection activeCell="H14" sqref="H14"/>
    </sheetView>
  </sheetViews>
  <sheetFormatPr defaultColWidth="9.140625" defaultRowHeight="15" x14ac:dyDescent="0.25"/>
  <cols>
    <col min="1" max="1" width="1.140625" style="1" customWidth="1"/>
    <col min="2" max="2" width="29.7109375" style="1" customWidth="1"/>
    <col min="3" max="3" width="15.42578125" style="1" customWidth="1"/>
    <col min="4" max="4" width="16.140625" style="1" bestFit="1" customWidth="1"/>
    <col min="5" max="5" width="20.42578125" style="1" customWidth="1"/>
    <col min="6" max="6" width="10.85546875" style="2" bestFit="1" customWidth="1"/>
    <col min="7" max="16" width="10.28515625" style="2" bestFit="1" customWidth="1"/>
    <col min="17" max="21" width="10.28515625" style="1" bestFit="1" customWidth="1"/>
    <col min="22" max="16384" width="9.140625" style="1"/>
  </cols>
  <sheetData>
    <row r="1" spans="2:21" ht="6.75" customHeight="1" thickBot="1" x14ac:dyDescent="0.3"/>
    <row r="2" spans="2:21" ht="16.5" thickTop="1" x14ac:dyDescent="0.25">
      <c r="B2" s="11" t="s">
        <v>42</v>
      </c>
      <c r="C2" s="12"/>
      <c r="D2" s="12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2:21" ht="5.0999999999999996" customHeight="1" x14ac:dyDescent="0.25">
      <c r="B3" s="46"/>
      <c r="C3" s="41"/>
      <c r="D3" s="41"/>
      <c r="E3" s="4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2"/>
    </row>
    <row r="4" spans="2:21" ht="15.75" x14ac:dyDescent="0.25">
      <c r="B4" s="46" t="s">
        <v>40</v>
      </c>
      <c r="C4" s="41"/>
      <c r="D4" s="48" t="s">
        <v>41</v>
      </c>
      <c r="E4" s="41">
        <f>IF(D4="Equity Multiple",0,1)</f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2"/>
    </row>
    <row r="5" spans="2:21" ht="16.5" thickBot="1" x14ac:dyDescent="0.3">
      <c r="B5" s="46" t="s">
        <v>43</v>
      </c>
      <c r="C5" s="41"/>
      <c r="D5" s="86" t="s">
        <v>59</v>
      </c>
      <c r="E5" s="4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2"/>
    </row>
    <row r="6" spans="2:21" ht="5.0999999999999996" customHeight="1" x14ac:dyDescent="0.25">
      <c r="B6" s="15"/>
      <c r="C6" s="16"/>
      <c r="D6" s="38"/>
      <c r="E6" s="16"/>
      <c r="F6" s="17"/>
      <c r="G6" s="17"/>
      <c r="H6" s="17"/>
      <c r="I6" s="17"/>
      <c r="J6" s="17"/>
      <c r="K6" s="17"/>
      <c r="L6" s="87" t="s">
        <v>46</v>
      </c>
      <c r="M6" s="89" t="str">
        <f>IF(M8=M7,"OK","Error")</f>
        <v>OK</v>
      </c>
      <c r="N6" s="17"/>
      <c r="O6" s="17"/>
      <c r="P6" s="17"/>
      <c r="Q6" s="16"/>
      <c r="R6" s="16"/>
      <c r="S6" s="16"/>
      <c r="T6" s="16"/>
      <c r="U6" s="18"/>
    </row>
    <row r="7" spans="2:21" ht="15.75" x14ac:dyDescent="0.25">
      <c r="B7" s="19" t="s">
        <v>36</v>
      </c>
      <c r="C7" s="49" t="s">
        <v>35</v>
      </c>
      <c r="D7" s="49" t="s">
        <v>34</v>
      </c>
      <c r="E7" s="16"/>
      <c r="F7" s="20"/>
      <c r="G7" s="17"/>
      <c r="H7" s="17"/>
      <c r="I7" s="17"/>
      <c r="J7" s="17"/>
      <c r="K7" s="17"/>
      <c r="L7" s="6" t="s">
        <v>47</v>
      </c>
      <c r="M7" s="90">
        <f>(D22+D29)/1000000</f>
        <v>62.268806230983976</v>
      </c>
      <c r="N7" s="17"/>
      <c r="O7" s="17"/>
      <c r="P7" s="17"/>
      <c r="Q7" s="16"/>
      <c r="R7" s="16"/>
      <c r="S7" s="16"/>
      <c r="T7" s="16"/>
      <c r="U7" s="18"/>
    </row>
    <row r="8" spans="2:21" ht="15.75" thickBot="1" x14ac:dyDescent="0.3">
      <c r="B8" s="15" t="s">
        <v>33</v>
      </c>
      <c r="C8" s="77">
        <v>0.1</v>
      </c>
      <c r="D8" s="50">
        <f>Equity_Share_Sponsor*Total_Equity</f>
        <v>1202508.26068211</v>
      </c>
      <c r="E8" s="16"/>
      <c r="F8" s="21"/>
      <c r="G8" s="22"/>
      <c r="H8" s="17"/>
      <c r="I8" s="17"/>
      <c r="J8" s="17"/>
      <c r="K8" s="17"/>
      <c r="L8" s="88" t="s">
        <v>48</v>
      </c>
      <c r="M8" s="91">
        <f>SUM(F35:U35)/1000000</f>
        <v>62.268806230983991</v>
      </c>
      <c r="N8" s="17"/>
      <c r="O8" s="17"/>
      <c r="P8" s="17"/>
      <c r="Q8" s="16"/>
      <c r="R8" s="16"/>
      <c r="S8" s="16"/>
      <c r="T8" s="16"/>
      <c r="U8" s="18"/>
    </row>
    <row r="9" spans="2:21" x14ac:dyDescent="0.25">
      <c r="B9" s="15" t="s">
        <v>32</v>
      </c>
      <c r="C9" s="53">
        <f>1-C8</f>
        <v>0.9</v>
      </c>
      <c r="D9" s="50">
        <f>Total_Equity*Equity_Share_LP</f>
        <v>10822574.34613899</v>
      </c>
      <c r="E9" s="16"/>
      <c r="F9" s="21"/>
      <c r="G9" s="22"/>
      <c r="H9" s="17"/>
      <c r="I9" s="17"/>
      <c r="J9" s="17"/>
      <c r="K9" s="17"/>
      <c r="L9" s="17"/>
      <c r="M9" s="17"/>
      <c r="N9" s="17"/>
      <c r="O9" s="17"/>
      <c r="P9" s="17"/>
      <c r="Q9" s="16"/>
      <c r="R9" s="16"/>
      <c r="S9" s="16"/>
      <c r="T9" s="16"/>
      <c r="U9" s="18"/>
    </row>
    <row r="10" spans="2:21" x14ac:dyDescent="0.25">
      <c r="B10" s="15" t="s">
        <v>38</v>
      </c>
      <c r="C10" s="23"/>
      <c r="D10" s="50">
        <f>-SUMIF(F35:U35,"&lt;0")</f>
        <v>12025082.606821099</v>
      </c>
      <c r="E10" s="16"/>
      <c r="F10" s="21"/>
      <c r="G10" s="22"/>
      <c r="H10" s="17"/>
      <c r="I10" s="17"/>
      <c r="J10" s="17"/>
      <c r="K10" s="17"/>
      <c r="L10" s="17"/>
      <c r="M10" s="17"/>
      <c r="N10" s="17"/>
      <c r="O10" s="17"/>
      <c r="P10" s="17"/>
      <c r="Q10" s="16"/>
      <c r="R10" s="16"/>
      <c r="S10" s="16"/>
      <c r="T10" s="16"/>
      <c r="U10" s="18"/>
    </row>
    <row r="11" spans="2:21" ht="5.0999999999999996" customHeight="1" x14ac:dyDescent="0.25">
      <c r="B11" s="15"/>
      <c r="C11" s="16"/>
      <c r="D11" s="38"/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6"/>
      <c r="R11" s="16"/>
      <c r="S11" s="16"/>
      <c r="T11" s="16"/>
      <c r="U11" s="18"/>
    </row>
    <row r="12" spans="2:21" ht="15.75" x14ac:dyDescent="0.25">
      <c r="B12" s="19" t="str">
        <f>IF(D4="Equity Multiple","Promote Structure (Equity Multiple Hurdles)","Promote Structure (IRR Hurdles)")</f>
        <v>Promote Structure (IRR Hurdles)</v>
      </c>
      <c r="C12" s="7"/>
      <c r="D12" s="51"/>
      <c r="E12" s="7"/>
      <c r="F12" s="5"/>
      <c r="G12" s="5"/>
      <c r="H12" s="54" t="s">
        <v>31</v>
      </c>
      <c r="I12" s="54" t="s">
        <v>30</v>
      </c>
      <c r="J12" s="17"/>
      <c r="K12" s="17"/>
      <c r="L12" s="17"/>
      <c r="M12" s="17"/>
      <c r="N12" s="17"/>
      <c r="O12" s="17"/>
      <c r="P12" s="17"/>
      <c r="Q12" s="16"/>
      <c r="R12" s="16"/>
      <c r="S12" s="16"/>
      <c r="T12" s="16"/>
      <c r="U12" s="18"/>
    </row>
    <row r="13" spans="2:21" x14ac:dyDescent="0.25">
      <c r="B13" s="15" t="s">
        <v>29</v>
      </c>
      <c r="C13" s="47" t="s">
        <v>39</v>
      </c>
      <c r="D13" s="52" t="s">
        <v>41</v>
      </c>
      <c r="E13" s="24">
        <f>IF($D$4="Equity Multiple",C14,D14)</f>
        <v>0.08</v>
      </c>
      <c r="F13" s="45"/>
      <c r="G13" s="25"/>
      <c r="H13" s="55">
        <f>Equity_Share_Sponsor</f>
        <v>0.1</v>
      </c>
      <c r="I13" s="56">
        <f>1-H13</f>
        <v>0.9</v>
      </c>
      <c r="J13" s="17"/>
      <c r="K13" s="17"/>
      <c r="L13" s="17"/>
      <c r="M13" s="17"/>
      <c r="N13" s="17"/>
      <c r="O13" s="17"/>
      <c r="P13" s="17"/>
      <c r="Q13" s="16"/>
      <c r="R13" s="16"/>
      <c r="S13" s="16"/>
      <c r="T13" s="16"/>
      <c r="U13" s="18"/>
    </row>
    <row r="14" spans="2:21" x14ac:dyDescent="0.25">
      <c r="B14" s="15" t="s">
        <v>10</v>
      </c>
      <c r="C14" s="83">
        <v>2</v>
      </c>
      <c r="D14" s="78">
        <v>0.08</v>
      </c>
      <c r="E14" s="28">
        <f t="shared" ref="E14:E15" si="0">IF($D$4="Equity Multiple",C15,D15)</f>
        <v>0.12</v>
      </c>
      <c r="F14" s="45"/>
      <c r="G14" s="25"/>
      <c r="H14" s="79">
        <f>1-(0.85*Equity_Share_LP)</f>
        <v>0.23499999999999999</v>
      </c>
      <c r="I14" s="56">
        <f t="shared" ref="I14:I16" si="1">1-H14</f>
        <v>0.76500000000000001</v>
      </c>
      <c r="J14" s="17"/>
      <c r="K14" s="17"/>
      <c r="L14" s="17"/>
      <c r="M14" s="17"/>
      <c r="N14" s="17"/>
      <c r="O14" s="17"/>
      <c r="P14" s="17"/>
      <c r="Q14" s="16"/>
      <c r="R14" s="16"/>
      <c r="S14" s="16"/>
      <c r="T14" s="16"/>
      <c r="U14" s="18"/>
    </row>
    <row r="15" spans="2:21" x14ac:dyDescent="0.25">
      <c r="B15" s="15" t="s">
        <v>9</v>
      </c>
      <c r="C15" s="83">
        <v>2.5</v>
      </c>
      <c r="D15" s="78">
        <v>0.12</v>
      </c>
      <c r="E15" s="28">
        <f t="shared" si="0"/>
        <v>0.16</v>
      </c>
      <c r="F15" s="45"/>
      <c r="G15" s="25"/>
      <c r="H15" s="79">
        <f>1-(0.8*Equity_Share_LP)</f>
        <v>0.27999999999999992</v>
      </c>
      <c r="I15" s="56">
        <f t="shared" si="1"/>
        <v>0.72000000000000008</v>
      </c>
      <c r="J15" s="17"/>
      <c r="K15" s="17"/>
      <c r="L15" s="17"/>
      <c r="M15" s="17"/>
      <c r="N15" s="17"/>
      <c r="O15" s="17"/>
      <c r="P15" s="17"/>
      <c r="Q15" s="16"/>
      <c r="R15" s="16"/>
      <c r="S15" s="16"/>
      <c r="T15" s="16"/>
      <c r="U15" s="18"/>
    </row>
    <row r="16" spans="2:21" x14ac:dyDescent="0.25">
      <c r="B16" s="15" t="s">
        <v>3</v>
      </c>
      <c r="C16" s="83">
        <v>3</v>
      </c>
      <c r="D16" s="78">
        <v>0.16</v>
      </c>
      <c r="E16" s="28"/>
      <c r="F16" s="45"/>
      <c r="G16" s="25"/>
      <c r="H16" s="79">
        <f>1-(0.75*Equity_Share_LP)</f>
        <v>0.32499999999999996</v>
      </c>
      <c r="I16" s="56">
        <f t="shared" si="1"/>
        <v>0.67500000000000004</v>
      </c>
      <c r="J16" s="17"/>
      <c r="K16" s="17"/>
      <c r="L16" s="17"/>
      <c r="M16" s="17"/>
      <c r="N16" s="17"/>
      <c r="O16" s="17"/>
      <c r="P16" s="17"/>
      <c r="Q16" s="16"/>
      <c r="R16" s="16"/>
      <c r="S16" s="16"/>
      <c r="T16" s="16"/>
      <c r="U16" s="18"/>
    </row>
    <row r="17" spans="2:21" ht="5.0999999999999996" customHeight="1" x14ac:dyDescent="0.25">
      <c r="B17" s="15"/>
      <c r="C17" s="16"/>
      <c r="D17" s="27"/>
      <c r="E17" s="28"/>
      <c r="F17" s="22"/>
      <c r="G17" s="25"/>
      <c r="H17" s="26"/>
      <c r="I17" s="26"/>
      <c r="J17" s="17"/>
      <c r="K17" s="17"/>
      <c r="L17" s="17"/>
      <c r="M17" s="17"/>
      <c r="N17" s="17"/>
      <c r="O17" s="17"/>
      <c r="P17" s="17"/>
      <c r="Q17" s="16"/>
      <c r="R17" s="16"/>
      <c r="S17" s="16"/>
      <c r="T17" s="16"/>
      <c r="U17" s="18"/>
    </row>
    <row r="18" spans="2:21" ht="15.75" x14ac:dyDescent="0.25">
      <c r="B18" s="19" t="s">
        <v>28</v>
      </c>
      <c r="C18" s="7"/>
      <c r="D18" s="8"/>
      <c r="E18" s="9"/>
      <c r="F18" s="51" t="s">
        <v>14</v>
      </c>
      <c r="G18" s="57">
        <v>1</v>
      </c>
      <c r="H18" s="57">
        <f>IF(H35="","",G18+1)</f>
        <v>2</v>
      </c>
      <c r="I18" s="57">
        <f t="shared" ref="I18:U18" si="2">IF(I35="","",H18+1)</f>
        <v>3</v>
      </c>
      <c r="J18" s="57">
        <f t="shared" si="2"/>
        <v>4</v>
      </c>
      <c r="K18" s="57">
        <f t="shared" si="2"/>
        <v>5</v>
      </c>
      <c r="L18" s="57">
        <f t="shared" si="2"/>
        <v>6</v>
      </c>
      <c r="M18" s="57">
        <f t="shared" si="2"/>
        <v>7</v>
      </c>
      <c r="N18" s="57">
        <f t="shared" si="2"/>
        <v>8</v>
      </c>
      <c r="O18" s="57">
        <f t="shared" si="2"/>
        <v>9</v>
      </c>
      <c r="P18" s="57">
        <f t="shared" si="2"/>
        <v>10</v>
      </c>
      <c r="Q18" s="57">
        <f t="shared" si="2"/>
        <v>11</v>
      </c>
      <c r="R18" s="57">
        <f t="shared" si="2"/>
        <v>12</v>
      </c>
      <c r="S18" s="57">
        <f t="shared" si="2"/>
        <v>13</v>
      </c>
      <c r="T18" s="57">
        <f t="shared" si="2"/>
        <v>14</v>
      </c>
      <c r="U18" s="58">
        <f t="shared" si="2"/>
        <v>15</v>
      </c>
    </row>
    <row r="19" spans="2:21" x14ac:dyDescent="0.25">
      <c r="B19" s="29" t="s">
        <v>27</v>
      </c>
      <c r="C19" s="16"/>
      <c r="D19" s="27"/>
      <c r="E19" s="28"/>
      <c r="F19" s="59"/>
      <c r="G19" s="60"/>
      <c r="H19" s="61"/>
      <c r="I19" s="61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62"/>
    </row>
    <row r="20" spans="2:21" x14ac:dyDescent="0.25">
      <c r="B20" s="30" t="s">
        <v>26</v>
      </c>
      <c r="C20" s="16"/>
      <c r="D20" s="31">
        <f>SUM(F20:U20)</f>
        <v>58646368.399281994</v>
      </c>
      <c r="E20" s="28"/>
      <c r="F20" s="63">
        <f t="shared" ref="F20:U20" si="3">IF(F18="","",F48+F70+F85+F92)</f>
        <v>0</v>
      </c>
      <c r="G20" s="63">
        <f t="shared" si="3"/>
        <v>1089081.0639216003</v>
      </c>
      <c r="H20" s="63">
        <f t="shared" si="3"/>
        <v>1132278.0052000326</v>
      </c>
      <c r="I20" s="63">
        <f t="shared" si="3"/>
        <v>869925.929304032</v>
      </c>
      <c r="J20" s="63">
        <f t="shared" si="3"/>
        <v>914868.02701011277</v>
      </c>
      <c r="K20" s="63">
        <f t="shared" si="3"/>
        <v>960708.96667031536</v>
      </c>
      <c r="L20" s="63">
        <f t="shared" si="3"/>
        <v>1007466.7251237215</v>
      </c>
      <c r="M20" s="63">
        <f t="shared" si="3"/>
        <v>1055159.6387461962</v>
      </c>
      <c r="N20" s="63">
        <f t="shared" si="3"/>
        <v>1103806.4106411191</v>
      </c>
      <c r="O20" s="63">
        <f t="shared" si="3"/>
        <v>1153426.1179739421</v>
      </c>
      <c r="P20" s="63">
        <f t="shared" si="3"/>
        <v>1204038.2194534212</v>
      </c>
      <c r="Q20" s="63">
        <f t="shared" si="3"/>
        <v>1255662.5629624894</v>
      </c>
      <c r="R20" s="63">
        <f t="shared" si="3"/>
        <v>1308319.393341739</v>
      </c>
      <c r="S20" s="63">
        <f t="shared" si="3"/>
        <v>1362029.360328574</v>
      </c>
      <c r="T20" s="63">
        <f t="shared" si="3"/>
        <v>1416813.5266551452</v>
      </c>
      <c r="U20" s="64">
        <f t="shared" si="3"/>
        <v>42812784.451949559</v>
      </c>
    </row>
    <row r="21" spans="2:21" x14ac:dyDescent="0.25">
      <c r="B21" s="30" t="s">
        <v>25</v>
      </c>
      <c r="C21" s="16"/>
      <c r="D21" s="31">
        <f>SUM(F21:U21)</f>
        <v>10822574.34613899</v>
      </c>
      <c r="E21" s="28"/>
      <c r="F21" s="63">
        <f t="shared" ref="F21:U21" si="4">F44</f>
        <v>10822574.34613899</v>
      </c>
      <c r="G21" s="63">
        <f t="shared" si="4"/>
        <v>0</v>
      </c>
      <c r="H21" s="63">
        <f t="shared" si="4"/>
        <v>0</v>
      </c>
      <c r="I21" s="63">
        <f t="shared" si="4"/>
        <v>0</v>
      </c>
      <c r="J21" s="63">
        <f t="shared" si="4"/>
        <v>0</v>
      </c>
      <c r="K21" s="63">
        <f t="shared" si="4"/>
        <v>0</v>
      </c>
      <c r="L21" s="63">
        <f t="shared" si="4"/>
        <v>0</v>
      </c>
      <c r="M21" s="63">
        <f t="shared" si="4"/>
        <v>0</v>
      </c>
      <c r="N21" s="63">
        <f t="shared" si="4"/>
        <v>0</v>
      </c>
      <c r="O21" s="63">
        <f t="shared" si="4"/>
        <v>0</v>
      </c>
      <c r="P21" s="63">
        <f t="shared" si="4"/>
        <v>0</v>
      </c>
      <c r="Q21" s="63">
        <f t="shared" si="4"/>
        <v>0</v>
      </c>
      <c r="R21" s="63">
        <f t="shared" si="4"/>
        <v>0</v>
      </c>
      <c r="S21" s="63">
        <f t="shared" si="4"/>
        <v>0</v>
      </c>
      <c r="T21" s="63">
        <f t="shared" si="4"/>
        <v>0</v>
      </c>
      <c r="U21" s="64">
        <f t="shared" si="4"/>
        <v>0</v>
      </c>
    </row>
    <row r="22" spans="2:21" x14ac:dyDescent="0.25">
      <c r="B22" s="30" t="s">
        <v>24</v>
      </c>
      <c r="C22" s="16"/>
      <c r="D22" s="31">
        <f>D20-D21</f>
        <v>47823794.053143002</v>
      </c>
      <c r="E22" s="28"/>
      <c r="F22" s="59"/>
      <c r="G22" s="60"/>
      <c r="H22" s="61"/>
      <c r="I22" s="61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62"/>
    </row>
    <row r="23" spans="2:21" x14ac:dyDescent="0.25">
      <c r="B23" s="30" t="s">
        <v>23</v>
      </c>
      <c r="C23" s="16"/>
      <c r="D23" s="32">
        <f>IRR(F23:U23)</f>
        <v>0.15597677984854541</v>
      </c>
      <c r="E23" s="28"/>
      <c r="F23" s="63">
        <f t="shared" ref="F23:U23" si="5">IF(F18="","",(-F21)+F20)</f>
        <v>-10822574.34613899</v>
      </c>
      <c r="G23" s="63">
        <f t="shared" si="5"/>
        <v>1089081.0639216003</v>
      </c>
      <c r="H23" s="63">
        <f t="shared" si="5"/>
        <v>1132278.0052000326</v>
      </c>
      <c r="I23" s="63">
        <f t="shared" si="5"/>
        <v>869925.929304032</v>
      </c>
      <c r="J23" s="63">
        <f t="shared" si="5"/>
        <v>914868.02701011277</v>
      </c>
      <c r="K23" s="63">
        <f t="shared" si="5"/>
        <v>960708.96667031536</v>
      </c>
      <c r="L23" s="63">
        <f t="shared" si="5"/>
        <v>1007466.7251237215</v>
      </c>
      <c r="M23" s="63">
        <f t="shared" si="5"/>
        <v>1055159.6387461962</v>
      </c>
      <c r="N23" s="63">
        <f t="shared" si="5"/>
        <v>1103806.4106411191</v>
      </c>
      <c r="O23" s="63">
        <f t="shared" si="5"/>
        <v>1153426.1179739421</v>
      </c>
      <c r="P23" s="63">
        <f t="shared" si="5"/>
        <v>1204038.2194534212</v>
      </c>
      <c r="Q23" s="63">
        <f t="shared" si="5"/>
        <v>1255662.5629624894</v>
      </c>
      <c r="R23" s="63">
        <f t="shared" si="5"/>
        <v>1308319.393341739</v>
      </c>
      <c r="S23" s="63">
        <f t="shared" si="5"/>
        <v>1362029.360328574</v>
      </c>
      <c r="T23" s="63">
        <f t="shared" si="5"/>
        <v>1416813.5266551452</v>
      </c>
      <c r="U23" s="64">
        <f t="shared" si="5"/>
        <v>42812784.451949559</v>
      </c>
    </row>
    <row r="24" spans="2:21" x14ac:dyDescent="0.25">
      <c r="B24" s="30" t="s">
        <v>22</v>
      </c>
      <c r="C24" s="16"/>
      <c r="D24" s="33">
        <f>D20/D21</f>
        <v>5.4188926334522609</v>
      </c>
      <c r="E24" s="28"/>
      <c r="F24" s="59"/>
      <c r="G24" s="60"/>
      <c r="H24" s="61"/>
      <c r="I24" s="61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62"/>
    </row>
    <row r="25" spans="2:21" ht="5.0999999999999996" customHeight="1" x14ac:dyDescent="0.25">
      <c r="B25" s="30"/>
      <c r="C25" s="16"/>
      <c r="D25" s="27"/>
      <c r="E25" s="28"/>
      <c r="F25" s="59"/>
      <c r="G25" s="60"/>
      <c r="H25" s="61"/>
      <c r="I25" s="61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62"/>
    </row>
    <row r="26" spans="2:21" x14ac:dyDescent="0.25">
      <c r="B26" s="29" t="s">
        <v>21</v>
      </c>
      <c r="C26" s="16"/>
      <c r="D26" s="27"/>
      <c r="E26" s="28"/>
      <c r="F26" s="59"/>
      <c r="G26" s="60"/>
      <c r="H26" s="61"/>
      <c r="I26" s="61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62"/>
    </row>
    <row r="27" spans="2:21" x14ac:dyDescent="0.25">
      <c r="B27" s="30" t="s">
        <v>20</v>
      </c>
      <c r="C27" s="16"/>
      <c r="D27" s="31">
        <f>SUM(F27:U27)</f>
        <v>15647520.438523086</v>
      </c>
      <c r="E27" s="28"/>
      <c r="F27" s="63">
        <f t="shared" ref="F27:U27" si="6">IF(F18="","",F54+F71+F86+F93)</f>
        <v>0</v>
      </c>
      <c r="G27" s="63">
        <f t="shared" si="6"/>
        <v>121009.00710240005</v>
      </c>
      <c r="H27" s="63">
        <f t="shared" si="6"/>
        <v>125808.66724444808</v>
      </c>
      <c r="I27" s="63">
        <f t="shared" si="6"/>
        <v>96658.436589336896</v>
      </c>
      <c r="J27" s="63">
        <f t="shared" si="6"/>
        <v>101652.00300112365</v>
      </c>
      <c r="K27" s="63">
        <f t="shared" si="6"/>
        <v>106745.44074114616</v>
      </c>
      <c r="L27" s="63">
        <f t="shared" si="6"/>
        <v>111940.74723596906</v>
      </c>
      <c r="M27" s="63">
        <f t="shared" si="6"/>
        <v>117239.95986068848</v>
      </c>
      <c r="N27" s="63">
        <f t="shared" si="6"/>
        <v>122645.15673790214</v>
      </c>
      <c r="O27" s="63">
        <f t="shared" si="6"/>
        <v>128158.45755266024</v>
      </c>
      <c r="P27" s="63">
        <f t="shared" si="6"/>
        <v>133782.02438371346</v>
      </c>
      <c r="Q27" s="63">
        <f t="shared" si="6"/>
        <v>139518.0625513877</v>
      </c>
      <c r="R27" s="63">
        <f t="shared" si="6"/>
        <v>145368.82148241543</v>
      </c>
      <c r="S27" s="63">
        <f t="shared" si="6"/>
        <v>151336.59559206379</v>
      </c>
      <c r="T27" s="63">
        <f t="shared" si="6"/>
        <v>157423.72518390502</v>
      </c>
      <c r="U27" s="64">
        <f t="shared" si="6"/>
        <v>13888233.333263926</v>
      </c>
    </row>
    <row r="28" spans="2:21" x14ac:dyDescent="0.25">
      <c r="B28" s="30" t="s">
        <v>19</v>
      </c>
      <c r="C28" s="16"/>
      <c r="D28" s="31">
        <f>SUM(F28:U28)</f>
        <v>1202508.2606821097</v>
      </c>
      <c r="E28" s="28"/>
      <c r="F28" s="63">
        <f t="shared" ref="F28:U28" si="7">IF(F18="","",-(MIN(F35,0)+F44))</f>
        <v>1202508.2606821097</v>
      </c>
      <c r="G28" s="63">
        <f t="shared" si="7"/>
        <v>0</v>
      </c>
      <c r="H28" s="63">
        <f t="shared" si="7"/>
        <v>0</v>
      </c>
      <c r="I28" s="63">
        <f t="shared" si="7"/>
        <v>0</v>
      </c>
      <c r="J28" s="63">
        <f t="shared" si="7"/>
        <v>0</v>
      </c>
      <c r="K28" s="63">
        <f t="shared" si="7"/>
        <v>0</v>
      </c>
      <c r="L28" s="63">
        <f t="shared" si="7"/>
        <v>0</v>
      </c>
      <c r="M28" s="63">
        <f t="shared" si="7"/>
        <v>0</v>
      </c>
      <c r="N28" s="63">
        <f t="shared" si="7"/>
        <v>0</v>
      </c>
      <c r="O28" s="63">
        <f t="shared" si="7"/>
        <v>0</v>
      </c>
      <c r="P28" s="63">
        <f t="shared" si="7"/>
        <v>0</v>
      </c>
      <c r="Q28" s="63">
        <f t="shared" si="7"/>
        <v>0</v>
      </c>
      <c r="R28" s="63">
        <f t="shared" si="7"/>
        <v>0</v>
      </c>
      <c r="S28" s="63">
        <f t="shared" si="7"/>
        <v>0</v>
      </c>
      <c r="T28" s="63">
        <f t="shared" si="7"/>
        <v>0</v>
      </c>
      <c r="U28" s="64">
        <f t="shared" si="7"/>
        <v>0</v>
      </c>
    </row>
    <row r="29" spans="2:21" x14ac:dyDescent="0.25">
      <c r="B29" s="30" t="s">
        <v>18</v>
      </c>
      <c r="C29" s="16"/>
      <c r="D29" s="31">
        <f>D27-D28</f>
        <v>14445012.177840976</v>
      </c>
      <c r="E29" s="28"/>
      <c r="F29" s="59"/>
      <c r="G29" s="60"/>
      <c r="H29" s="61"/>
      <c r="I29" s="61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62"/>
    </row>
    <row r="30" spans="2:21" x14ac:dyDescent="0.25">
      <c r="B30" s="30" t="s">
        <v>17</v>
      </c>
      <c r="C30" s="16"/>
      <c r="D30" s="32">
        <f>IRR(F30:U30)</f>
        <v>0.2201187963456821</v>
      </c>
      <c r="E30" s="28"/>
      <c r="F30" s="63">
        <f t="shared" ref="F30:U30" si="8">IF(F18="","",(-F28)+F27)</f>
        <v>-1202508.2606821097</v>
      </c>
      <c r="G30" s="63">
        <f t="shared" si="8"/>
        <v>121009.00710240005</v>
      </c>
      <c r="H30" s="63">
        <f t="shared" si="8"/>
        <v>125808.66724444808</v>
      </c>
      <c r="I30" s="63">
        <f t="shared" si="8"/>
        <v>96658.436589336896</v>
      </c>
      <c r="J30" s="63">
        <f t="shared" si="8"/>
        <v>101652.00300112365</v>
      </c>
      <c r="K30" s="63">
        <f t="shared" si="8"/>
        <v>106745.44074114616</v>
      </c>
      <c r="L30" s="63">
        <f t="shared" si="8"/>
        <v>111940.74723596906</v>
      </c>
      <c r="M30" s="63">
        <f t="shared" si="8"/>
        <v>117239.95986068848</v>
      </c>
      <c r="N30" s="63">
        <f t="shared" si="8"/>
        <v>122645.15673790214</v>
      </c>
      <c r="O30" s="63">
        <f t="shared" si="8"/>
        <v>128158.45755266024</v>
      </c>
      <c r="P30" s="63">
        <f t="shared" si="8"/>
        <v>133782.02438371346</v>
      </c>
      <c r="Q30" s="63">
        <f t="shared" si="8"/>
        <v>139518.0625513877</v>
      </c>
      <c r="R30" s="63">
        <f t="shared" si="8"/>
        <v>145368.82148241543</v>
      </c>
      <c r="S30" s="63">
        <f t="shared" si="8"/>
        <v>151336.59559206379</v>
      </c>
      <c r="T30" s="63">
        <f t="shared" si="8"/>
        <v>157423.72518390502</v>
      </c>
      <c r="U30" s="64">
        <f t="shared" si="8"/>
        <v>13888233.333263926</v>
      </c>
    </row>
    <row r="31" spans="2:21" x14ac:dyDescent="0.25">
      <c r="B31" s="30" t="s">
        <v>16</v>
      </c>
      <c r="C31" s="16"/>
      <c r="D31" s="33">
        <f>D27/D28</f>
        <v>13.012401619301309</v>
      </c>
      <c r="E31" s="28"/>
      <c r="F31" s="59"/>
      <c r="G31" s="60"/>
      <c r="H31" s="61"/>
      <c r="I31" s="61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62"/>
    </row>
    <row r="32" spans="2:21" ht="5.0999999999999996" customHeight="1" x14ac:dyDescent="0.25">
      <c r="B32" s="34"/>
      <c r="C32" s="35"/>
      <c r="D32" s="36"/>
      <c r="E32" s="16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62"/>
    </row>
    <row r="33" spans="2:25" ht="15.75" x14ac:dyDescent="0.25">
      <c r="B33" s="19" t="s">
        <v>15</v>
      </c>
      <c r="C33" s="7"/>
      <c r="D33" s="7"/>
      <c r="E33" s="10"/>
      <c r="F33" s="51" t="s">
        <v>14</v>
      </c>
      <c r="G33" s="57">
        <f>G18</f>
        <v>1</v>
      </c>
      <c r="H33" s="57">
        <f t="shared" ref="H33:U33" si="9">H18</f>
        <v>2</v>
      </c>
      <c r="I33" s="57">
        <f t="shared" si="9"/>
        <v>3</v>
      </c>
      <c r="J33" s="57">
        <f t="shared" si="9"/>
        <v>4</v>
      </c>
      <c r="K33" s="57">
        <f t="shared" si="9"/>
        <v>5</v>
      </c>
      <c r="L33" s="57">
        <f t="shared" si="9"/>
        <v>6</v>
      </c>
      <c r="M33" s="57">
        <f t="shared" si="9"/>
        <v>7</v>
      </c>
      <c r="N33" s="57">
        <f t="shared" si="9"/>
        <v>8</v>
      </c>
      <c r="O33" s="57">
        <f t="shared" si="9"/>
        <v>9</v>
      </c>
      <c r="P33" s="57">
        <f t="shared" si="9"/>
        <v>10</v>
      </c>
      <c r="Q33" s="57">
        <f t="shared" si="9"/>
        <v>11</v>
      </c>
      <c r="R33" s="57">
        <f t="shared" si="9"/>
        <v>12</v>
      </c>
      <c r="S33" s="57">
        <f t="shared" si="9"/>
        <v>13</v>
      </c>
      <c r="T33" s="57">
        <f t="shared" si="9"/>
        <v>14</v>
      </c>
      <c r="U33" s="58">
        <f t="shared" si="9"/>
        <v>15</v>
      </c>
      <c r="V33" s="3"/>
      <c r="W33" s="3"/>
      <c r="X33" s="3"/>
      <c r="Y33" s="3"/>
    </row>
    <row r="34" spans="2:25" x14ac:dyDescent="0.25">
      <c r="B34" s="15"/>
      <c r="C34" s="16"/>
      <c r="D34" s="16"/>
      <c r="E34" s="21" t="s">
        <v>13</v>
      </c>
      <c r="F34" s="80">
        <f ca="1">EOMONTH(TODAY(),0)</f>
        <v>42400</v>
      </c>
      <c r="G34" s="65">
        <f ca="1">IF(G33="","",EOMONTH(F34,12))</f>
        <v>42766</v>
      </c>
      <c r="H34" s="65">
        <f t="shared" ref="H34:U34" ca="1" si="10">IF(H33="","",EOMONTH(G34,12))</f>
        <v>43131</v>
      </c>
      <c r="I34" s="65">
        <f t="shared" ca="1" si="10"/>
        <v>43496</v>
      </c>
      <c r="J34" s="65">
        <f t="shared" ca="1" si="10"/>
        <v>43861</v>
      </c>
      <c r="K34" s="65">
        <f t="shared" ca="1" si="10"/>
        <v>44227</v>
      </c>
      <c r="L34" s="65">
        <f t="shared" ca="1" si="10"/>
        <v>44592</v>
      </c>
      <c r="M34" s="65">
        <f t="shared" ca="1" si="10"/>
        <v>44957</v>
      </c>
      <c r="N34" s="65">
        <f t="shared" ca="1" si="10"/>
        <v>45322</v>
      </c>
      <c r="O34" s="65">
        <f t="shared" ca="1" si="10"/>
        <v>45688</v>
      </c>
      <c r="P34" s="65">
        <f t="shared" ca="1" si="10"/>
        <v>46053</v>
      </c>
      <c r="Q34" s="65">
        <f t="shared" ca="1" si="10"/>
        <v>46418</v>
      </c>
      <c r="R34" s="65">
        <f t="shared" ca="1" si="10"/>
        <v>46783</v>
      </c>
      <c r="S34" s="65">
        <f t="shared" ca="1" si="10"/>
        <v>47149</v>
      </c>
      <c r="T34" s="65">
        <f t="shared" ca="1" si="10"/>
        <v>47514</v>
      </c>
      <c r="U34" s="66">
        <f t="shared" ca="1" si="10"/>
        <v>47879</v>
      </c>
      <c r="V34" s="3"/>
      <c r="W34" s="3"/>
      <c r="X34" s="3"/>
      <c r="Y34" s="3"/>
    </row>
    <row r="35" spans="2:25" x14ac:dyDescent="0.25">
      <c r="B35" s="15" t="s">
        <v>37</v>
      </c>
      <c r="C35" s="16"/>
      <c r="D35" s="16"/>
      <c r="E35" s="37"/>
      <c r="F35" s="81">
        <v>-12025082.606821099</v>
      </c>
      <c r="G35" s="81">
        <v>1210090.0710240004</v>
      </c>
      <c r="H35" s="81">
        <v>1258086.6724444807</v>
      </c>
      <c r="I35" s="81">
        <v>966584.36589336884</v>
      </c>
      <c r="J35" s="81">
        <v>1016520.0300112364</v>
      </c>
      <c r="K35" s="81">
        <v>1067454.4074114615</v>
      </c>
      <c r="L35" s="81">
        <v>1119407.4723596906</v>
      </c>
      <c r="M35" s="81">
        <v>1172399.5986068847</v>
      </c>
      <c r="N35" s="81">
        <v>1226451.5673790213</v>
      </c>
      <c r="O35" s="81">
        <v>1281584.5755266023</v>
      </c>
      <c r="P35" s="81">
        <v>1337820.2438371347</v>
      </c>
      <c r="Q35" s="81">
        <v>1395180.625513877</v>
      </c>
      <c r="R35" s="81">
        <v>1453688.2148241543</v>
      </c>
      <c r="S35" s="81">
        <v>1513365.9559206378</v>
      </c>
      <c r="T35" s="81">
        <v>1574237.2518390503</v>
      </c>
      <c r="U35" s="82">
        <v>56701017.785213485</v>
      </c>
    </row>
    <row r="36" spans="2:25" x14ac:dyDescent="0.25">
      <c r="B36" s="15" t="s">
        <v>12</v>
      </c>
      <c r="C36" s="16"/>
      <c r="D36" s="16"/>
      <c r="E36" s="16"/>
      <c r="F36" s="61">
        <f>IRR(F35:U35)</f>
        <v>0.16549196819943379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62"/>
    </row>
    <row r="37" spans="2:25" x14ac:dyDescent="0.25">
      <c r="B37" s="15" t="s">
        <v>39</v>
      </c>
      <c r="C37" s="16"/>
      <c r="D37" s="16"/>
      <c r="E37" s="16"/>
      <c r="F37" s="67">
        <f>SUMIF(F35:U35,"&gt;0")/-SUMIF(F35:U35,"&lt;0")</f>
        <v>6.1782435320371674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62"/>
    </row>
    <row r="38" spans="2:25" ht="5.0999999999999996" customHeight="1" x14ac:dyDescent="0.25">
      <c r="B38" s="15"/>
      <c r="C38" s="16"/>
      <c r="D38" s="16"/>
      <c r="E38" s="38"/>
      <c r="F38" s="68"/>
      <c r="G38" s="38"/>
      <c r="H38" s="38"/>
      <c r="I38" s="38"/>
      <c r="J38" s="38"/>
      <c r="K38" s="38"/>
      <c r="L38" s="38"/>
      <c r="M38" s="38"/>
      <c r="N38" s="38"/>
      <c r="O38" s="38"/>
      <c r="P38" s="68"/>
      <c r="Q38" s="38"/>
      <c r="R38" s="38"/>
      <c r="S38" s="38"/>
      <c r="T38" s="38"/>
      <c r="U38" s="62"/>
    </row>
    <row r="39" spans="2:25" ht="15.75" x14ac:dyDescent="0.25">
      <c r="B39" s="39" t="s">
        <v>52</v>
      </c>
      <c r="C39" s="16"/>
      <c r="D39" s="16"/>
      <c r="E39" s="16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62"/>
    </row>
    <row r="40" spans="2:25" x14ac:dyDescent="0.25">
      <c r="B40" s="84" t="s">
        <v>44</v>
      </c>
      <c r="C40" s="85">
        <f>E13</f>
        <v>0.08</v>
      </c>
      <c r="D40" s="7"/>
      <c r="E40" s="7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69"/>
    </row>
    <row r="41" spans="2:25" x14ac:dyDescent="0.25">
      <c r="B41" s="15" t="s">
        <v>8</v>
      </c>
      <c r="C41" s="16"/>
      <c r="D41" s="16"/>
      <c r="E41" s="16"/>
      <c r="F41" s="70">
        <f t="shared" ref="F41:U41" si="11">IF(F33="","",E46)</f>
        <v>0</v>
      </c>
      <c r="G41" s="70">
        <f t="shared" si="11"/>
        <v>10822574.34613899</v>
      </c>
      <c r="H41" s="70">
        <f t="shared" si="11"/>
        <v>10599299.229908507</v>
      </c>
      <c r="I41" s="70">
        <f t="shared" si="11"/>
        <v>10314965.163101155</v>
      </c>
      <c r="J41" s="70">
        <f t="shared" si="11"/>
        <v>10270236.446845217</v>
      </c>
      <c r="K41" s="70">
        <f t="shared" si="11"/>
        <v>10176987.335582722</v>
      </c>
      <c r="L41" s="70">
        <f t="shared" si="11"/>
        <v>10030437.355759025</v>
      </c>
      <c r="M41" s="70">
        <f t="shared" si="11"/>
        <v>9825405.619096024</v>
      </c>
      <c r="N41" s="70">
        <f t="shared" si="11"/>
        <v>9556278.4298775103</v>
      </c>
      <c r="O41" s="70">
        <f t="shared" si="11"/>
        <v>9216974.2936265916</v>
      </c>
      <c r="P41" s="70">
        <f t="shared" si="11"/>
        <v>8800906.1191427764</v>
      </c>
      <c r="Q41" s="70">
        <f t="shared" si="11"/>
        <v>8300940.389220777</v>
      </c>
      <c r="R41" s="70">
        <f t="shared" si="11"/>
        <v>7709353.05739595</v>
      </c>
      <c r="S41" s="70">
        <f t="shared" si="11"/>
        <v>7017781.9086458869</v>
      </c>
      <c r="T41" s="70">
        <f t="shared" si="11"/>
        <v>6217175.1010089843</v>
      </c>
      <c r="U41" s="71">
        <f t="shared" si="11"/>
        <v>5297735.5824345583</v>
      </c>
    </row>
    <row r="42" spans="2:25" x14ac:dyDescent="0.25">
      <c r="B42" s="15" t="s">
        <v>53</v>
      </c>
      <c r="C42" s="16"/>
      <c r="D42" s="16"/>
      <c r="E42" s="16"/>
      <c r="F42" s="92" t="str">
        <f>IF(SUM(G42:U42)=SUM(F44:U44),"All Equity Returned","ERROR")</f>
        <v>All Equity Returned</v>
      </c>
      <c r="G42" s="70">
        <f t="shared" ref="G42:U42" si="12">G48-G43</f>
        <v>223275.11623048119</v>
      </c>
      <c r="H42" s="70">
        <f t="shared" si="12"/>
        <v>284334.06680735201</v>
      </c>
      <c r="I42" s="70">
        <f t="shared" si="12"/>
        <v>44728.716255939566</v>
      </c>
      <c r="J42" s="70">
        <f t="shared" si="12"/>
        <v>93249.111262495397</v>
      </c>
      <c r="K42" s="70">
        <f t="shared" si="12"/>
        <v>146549.97982369759</v>
      </c>
      <c r="L42" s="70">
        <f t="shared" si="12"/>
        <v>205031.73666299949</v>
      </c>
      <c r="M42" s="70">
        <f t="shared" si="12"/>
        <v>269127.18921851425</v>
      </c>
      <c r="N42" s="70">
        <f t="shared" si="12"/>
        <v>339304.13625091827</v>
      </c>
      <c r="O42" s="70">
        <f t="shared" si="12"/>
        <v>416068.17448381474</v>
      </c>
      <c r="P42" s="70">
        <f t="shared" si="12"/>
        <v>499965.72992199904</v>
      </c>
      <c r="Q42" s="70">
        <f t="shared" si="12"/>
        <v>591587.33182482724</v>
      </c>
      <c r="R42" s="70">
        <f t="shared" si="12"/>
        <v>691571.14875006292</v>
      </c>
      <c r="S42" s="70">
        <f t="shared" si="12"/>
        <v>800606.80763690302</v>
      </c>
      <c r="T42" s="70">
        <f t="shared" si="12"/>
        <v>919439.51857442642</v>
      </c>
      <c r="U42" s="71">
        <f t="shared" si="12"/>
        <v>5297735.5824345583</v>
      </c>
    </row>
    <row r="43" spans="2:25" x14ac:dyDescent="0.25">
      <c r="B43" s="15" t="s">
        <v>50</v>
      </c>
      <c r="C43" s="16"/>
      <c r="D43" s="16"/>
      <c r="E43" s="16"/>
      <c r="F43" s="70">
        <f>IF(F41="","",IF($D$4="Equity Multiple",E44*$C40-E44,F41*Preferred_Return))</f>
        <v>0</v>
      </c>
      <c r="G43" s="70">
        <f t="shared" ref="G43:U43" si="13">IF(G41="","",IF($D$4="Equity Multiple",F44*$C40-F44,G41*Preferred_Return))</f>
        <v>865805.94769111916</v>
      </c>
      <c r="H43" s="70">
        <f t="shared" si="13"/>
        <v>847943.9383926806</v>
      </c>
      <c r="I43" s="70">
        <f t="shared" si="13"/>
        <v>825197.21304809244</v>
      </c>
      <c r="J43" s="70">
        <f t="shared" si="13"/>
        <v>821618.91574761737</v>
      </c>
      <c r="K43" s="70">
        <f t="shared" si="13"/>
        <v>814158.98684661777</v>
      </c>
      <c r="L43" s="70">
        <f t="shared" si="13"/>
        <v>802434.98846072203</v>
      </c>
      <c r="M43" s="70">
        <f t="shared" si="13"/>
        <v>786032.44952768192</v>
      </c>
      <c r="N43" s="70">
        <f t="shared" si="13"/>
        <v>764502.27439020085</v>
      </c>
      <c r="O43" s="70">
        <f t="shared" si="13"/>
        <v>737357.94349012733</v>
      </c>
      <c r="P43" s="70">
        <f t="shared" si="13"/>
        <v>704072.48953142215</v>
      </c>
      <c r="Q43" s="70">
        <f t="shared" si="13"/>
        <v>664075.23113766219</v>
      </c>
      <c r="R43" s="70">
        <f t="shared" si="13"/>
        <v>616748.24459167605</v>
      </c>
      <c r="S43" s="70">
        <f t="shared" si="13"/>
        <v>561422.55269167095</v>
      </c>
      <c r="T43" s="70">
        <f t="shared" si="13"/>
        <v>497374.00808071875</v>
      </c>
      <c r="U43" s="71">
        <f t="shared" si="13"/>
        <v>423818.84659476468</v>
      </c>
    </row>
    <row r="44" spans="2:25" x14ac:dyDescent="0.25">
      <c r="B44" s="15" t="s">
        <v>7</v>
      </c>
      <c r="C44" s="16"/>
      <c r="D44" s="16"/>
      <c r="E44" s="16"/>
      <c r="F44" s="70">
        <f>IF(F41="","",-MIN(0,F35*Equity_Share_LP))</f>
        <v>10822574.34613899</v>
      </c>
      <c r="G44" s="70">
        <f t="shared" ref="G44:U44" si="14">IF(G41="","",-MIN(0,G35*Equity_Share_LP))</f>
        <v>0</v>
      </c>
      <c r="H44" s="70">
        <f t="shared" si="14"/>
        <v>0</v>
      </c>
      <c r="I44" s="70">
        <f t="shared" si="14"/>
        <v>0</v>
      </c>
      <c r="J44" s="70">
        <f t="shared" si="14"/>
        <v>0</v>
      </c>
      <c r="K44" s="70">
        <f t="shared" si="14"/>
        <v>0</v>
      </c>
      <c r="L44" s="70">
        <f t="shared" si="14"/>
        <v>0</v>
      </c>
      <c r="M44" s="70">
        <f t="shared" si="14"/>
        <v>0</v>
      </c>
      <c r="N44" s="70">
        <f t="shared" si="14"/>
        <v>0</v>
      </c>
      <c r="O44" s="70">
        <f t="shared" si="14"/>
        <v>0</v>
      </c>
      <c r="P44" s="70">
        <f t="shared" si="14"/>
        <v>0</v>
      </c>
      <c r="Q44" s="70">
        <f t="shared" si="14"/>
        <v>0</v>
      </c>
      <c r="R44" s="70">
        <f t="shared" si="14"/>
        <v>0</v>
      </c>
      <c r="S44" s="70">
        <f t="shared" si="14"/>
        <v>0</v>
      </c>
      <c r="T44" s="70">
        <f t="shared" si="14"/>
        <v>0</v>
      </c>
      <c r="U44" s="71">
        <f t="shared" si="14"/>
        <v>0</v>
      </c>
    </row>
    <row r="45" spans="2:25" x14ac:dyDescent="0.25">
      <c r="B45" s="15" t="s">
        <v>11</v>
      </c>
      <c r="C45" s="16"/>
      <c r="D45" s="16"/>
      <c r="E45" s="16"/>
      <c r="F45" s="70">
        <f>MAX(F35,F43)</f>
        <v>0</v>
      </c>
      <c r="G45" s="63">
        <f>IF(G41="","",MIN(G41+G43,MAX(G35,0)*$I$13))</f>
        <v>1089081.0639216003</v>
      </c>
      <c r="H45" s="63">
        <f t="shared" ref="H45:U45" si="15">IF(H41="","",MIN(H41+H43,MAX(H35,0)*$I$13))</f>
        <v>1132278.0052000326</v>
      </c>
      <c r="I45" s="63">
        <f t="shared" si="15"/>
        <v>869925.929304032</v>
      </c>
      <c r="J45" s="63">
        <f t="shared" si="15"/>
        <v>914868.02701011277</v>
      </c>
      <c r="K45" s="63">
        <f t="shared" si="15"/>
        <v>960708.96667031536</v>
      </c>
      <c r="L45" s="63">
        <f t="shared" si="15"/>
        <v>1007466.7251237215</v>
      </c>
      <c r="M45" s="63">
        <f t="shared" si="15"/>
        <v>1055159.6387461962</v>
      </c>
      <c r="N45" s="63">
        <f t="shared" si="15"/>
        <v>1103806.4106411191</v>
      </c>
      <c r="O45" s="63">
        <f t="shared" si="15"/>
        <v>1153426.1179739421</v>
      </c>
      <c r="P45" s="63">
        <f t="shared" si="15"/>
        <v>1204038.2194534212</v>
      </c>
      <c r="Q45" s="63">
        <f t="shared" si="15"/>
        <v>1255662.5629624894</v>
      </c>
      <c r="R45" s="63">
        <f t="shared" si="15"/>
        <v>1308319.393341739</v>
      </c>
      <c r="S45" s="63">
        <f t="shared" si="15"/>
        <v>1362029.360328574</v>
      </c>
      <c r="T45" s="63">
        <f t="shared" si="15"/>
        <v>1416813.5266551452</v>
      </c>
      <c r="U45" s="64">
        <f t="shared" si="15"/>
        <v>5721554.4290293232</v>
      </c>
    </row>
    <row r="46" spans="2:25" x14ac:dyDescent="0.25">
      <c r="B46" s="15" t="s">
        <v>5</v>
      </c>
      <c r="C46" s="16"/>
      <c r="D46" s="16"/>
      <c r="E46" s="16"/>
      <c r="F46" s="70">
        <f>F41+F44-F45</f>
        <v>10822574.34613899</v>
      </c>
      <c r="G46" s="70">
        <f>IF(G41="","",G41+G43+G44-G45)</f>
        <v>10599299.229908507</v>
      </c>
      <c r="H46" s="70">
        <f t="shared" ref="H46:U46" si="16">IF(H41="","",H41+H43+H44-H45)</f>
        <v>10314965.163101155</v>
      </c>
      <c r="I46" s="70">
        <f t="shared" si="16"/>
        <v>10270236.446845217</v>
      </c>
      <c r="J46" s="70">
        <f t="shared" si="16"/>
        <v>10176987.335582722</v>
      </c>
      <c r="K46" s="70">
        <f t="shared" si="16"/>
        <v>10030437.355759025</v>
      </c>
      <c r="L46" s="70">
        <f t="shared" si="16"/>
        <v>9825405.619096024</v>
      </c>
      <c r="M46" s="70">
        <f t="shared" si="16"/>
        <v>9556278.4298775103</v>
      </c>
      <c r="N46" s="70">
        <f t="shared" si="16"/>
        <v>9216974.2936265916</v>
      </c>
      <c r="O46" s="70">
        <f t="shared" si="16"/>
        <v>8800906.1191427764</v>
      </c>
      <c r="P46" s="70">
        <f t="shared" si="16"/>
        <v>8300940.389220777</v>
      </c>
      <c r="Q46" s="70">
        <f t="shared" si="16"/>
        <v>7709353.05739595</v>
      </c>
      <c r="R46" s="70">
        <f t="shared" si="16"/>
        <v>7017781.9086458869</v>
      </c>
      <c r="S46" s="70">
        <f t="shared" si="16"/>
        <v>6217175.1010089843</v>
      </c>
      <c r="T46" s="70">
        <f t="shared" si="16"/>
        <v>5297735.5824345583</v>
      </c>
      <c r="U46" s="71">
        <f t="shared" si="16"/>
        <v>0</v>
      </c>
    </row>
    <row r="47" spans="2:25" x14ac:dyDescent="0.25">
      <c r="B47" s="76">
        <f>C40</f>
        <v>0.08</v>
      </c>
      <c r="C47" s="16"/>
      <c r="D47" s="16"/>
      <c r="E47" s="93">
        <f>IF($D$4="IRR",IRR(F47:U47),SUMIF(F47:U47,"&gt;0")/-SUMIF(F47:U47,"&lt;0"))</f>
        <v>7.9999999999999849E-2</v>
      </c>
      <c r="F47" s="70">
        <f t="shared" ref="F47:U47" si="17">IF(F41="","",-F44+F45)</f>
        <v>-10822574.34613899</v>
      </c>
      <c r="G47" s="70">
        <f t="shared" si="17"/>
        <v>1089081.0639216003</v>
      </c>
      <c r="H47" s="70">
        <f t="shared" si="17"/>
        <v>1132278.0052000326</v>
      </c>
      <c r="I47" s="70">
        <f t="shared" si="17"/>
        <v>869925.929304032</v>
      </c>
      <c r="J47" s="70">
        <f t="shared" si="17"/>
        <v>914868.02701011277</v>
      </c>
      <c r="K47" s="70">
        <f t="shared" si="17"/>
        <v>960708.96667031536</v>
      </c>
      <c r="L47" s="70">
        <f t="shared" si="17"/>
        <v>1007466.7251237215</v>
      </c>
      <c r="M47" s="70">
        <f t="shared" si="17"/>
        <v>1055159.6387461962</v>
      </c>
      <c r="N47" s="70">
        <f t="shared" si="17"/>
        <v>1103806.4106411191</v>
      </c>
      <c r="O47" s="70">
        <f t="shared" si="17"/>
        <v>1153426.1179739421</v>
      </c>
      <c r="P47" s="70">
        <f t="shared" si="17"/>
        <v>1204038.2194534212</v>
      </c>
      <c r="Q47" s="70">
        <f t="shared" si="17"/>
        <v>1255662.5629624894</v>
      </c>
      <c r="R47" s="70">
        <f t="shared" si="17"/>
        <v>1308319.393341739</v>
      </c>
      <c r="S47" s="70">
        <f t="shared" si="17"/>
        <v>1362029.360328574</v>
      </c>
      <c r="T47" s="70">
        <f t="shared" si="17"/>
        <v>1416813.5266551452</v>
      </c>
      <c r="U47" s="71">
        <f t="shared" si="17"/>
        <v>5721554.4290293232</v>
      </c>
    </row>
    <row r="48" spans="2:25" x14ac:dyDescent="0.25">
      <c r="B48" s="15" t="s">
        <v>2</v>
      </c>
      <c r="C48" s="16"/>
      <c r="D48" s="16"/>
      <c r="E48" s="16"/>
      <c r="F48" s="70">
        <f>MAX(F35,F43)</f>
        <v>0</v>
      </c>
      <c r="G48" s="70">
        <f>IF(G41="","",MIN(G41+G43,MAX(G35,0)*$I$13))</f>
        <v>1089081.0639216003</v>
      </c>
      <c r="H48" s="70">
        <f t="shared" ref="H48:U48" si="18">H45</f>
        <v>1132278.0052000326</v>
      </c>
      <c r="I48" s="70">
        <f t="shared" si="18"/>
        <v>869925.929304032</v>
      </c>
      <c r="J48" s="70">
        <f t="shared" si="18"/>
        <v>914868.02701011277</v>
      </c>
      <c r="K48" s="70">
        <f t="shared" si="18"/>
        <v>960708.96667031536</v>
      </c>
      <c r="L48" s="70">
        <f t="shared" si="18"/>
        <v>1007466.7251237215</v>
      </c>
      <c r="M48" s="70">
        <f t="shared" si="18"/>
        <v>1055159.6387461962</v>
      </c>
      <c r="N48" s="70">
        <f t="shared" si="18"/>
        <v>1103806.4106411191</v>
      </c>
      <c r="O48" s="70">
        <f t="shared" si="18"/>
        <v>1153426.1179739421</v>
      </c>
      <c r="P48" s="70">
        <f t="shared" si="18"/>
        <v>1204038.2194534212</v>
      </c>
      <c r="Q48" s="70">
        <f t="shared" si="18"/>
        <v>1255662.5629624894</v>
      </c>
      <c r="R48" s="70">
        <f t="shared" si="18"/>
        <v>1308319.393341739</v>
      </c>
      <c r="S48" s="70">
        <f t="shared" si="18"/>
        <v>1362029.360328574</v>
      </c>
      <c r="T48" s="70">
        <f t="shared" si="18"/>
        <v>1416813.5266551452</v>
      </c>
      <c r="U48" s="71">
        <f t="shared" si="18"/>
        <v>5721554.4290293232</v>
      </c>
    </row>
    <row r="49" spans="2:21" ht="5.0999999999999996" customHeight="1" x14ac:dyDescent="0.25">
      <c r="B49" s="15"/>
      <c r="C49" s="16"/>
      <c r="D49" s="16"/>
      <c r="E49" s="16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1"/>
    </row>
    <row r="50" spans="2:21" x14ac:dyDescent="0.25">
      <c r="B50" s="15" t="s">
        <v>54</v>
      </c>
      <c r="C50" s="16"/>
      <c r="D50" s="16"/>
      <c r="E50" s="37"/>
      <c r="F50" s="70">
        <f t="shared" ref="F50:U50" si="19">IF(F33="","",E55)</f>
        <v>0</v>
      </c>
      <c r="G50" s="70">
        <f t="shared" si="19"/>
        <v>1202508.26068211</v>
      </c>
      <c r="H50" s="70">
        <f t="shared" si="19"/>
        <v>1177699.9144342786</v>
      </c>
      <c r="I50" s="70">
        <f t="shared" si="19"/>
        <v>1146107.2403445728</v>
      </c>
      <c r="J50" s="70">
        <f t="shared" si="19"/>
        <v>1141137.3829828016</v>
      </c>
      <c r="K50" s="70">
        <f t="shared" si="19"/>
        <v>1130776.3706203022</v>
      </c>
      <c r="L50" s="70">
        <f t="shared" si="19"/>
        <v>1114493.0395287802</v>
      </c>
      <c r="M50" s="70">
        <f t="shared" si="19"/>
        <v>1091711.7354551135</v>
      </c>
      <c r="N50" s="70">
        <f t="shared" si="19"/>
        <v>1061808.7144308339</v>
      </c>
      <c r="O50" s="70">
        <f t="shared" si="19"/>
        <v>1024108.2548473985</v>
      </c>
      <c r="P50" s="70">
        <f t="shared" si="19"/>
        <v>977878.45768253016</v>
      </c>
      <c r="Q50" s="70">
        <f t="shared" si="19"/>
        <v>922326.70991341909</v>
      </c>
      <c r="R50" s="70">
        <f t="shared" si="19"/>
        <v>856594.78415510489</v>
      </c>
      <c r="S50" s="70">
        <f t="shared" si="19"/>
        <v>779753.54540509789</v>
      </c>
      <c r="T50" s="70">
        <f t="shared" si="19"/>
        <v>690797.23344544182</v>
      </c>
      <c r="U50" s="71">
        <f t="shared" si="19"/>
        <v>588637.28693717218</v>
      </c>
    </row>
    <row r="51" spans="2:21" x14ac:dyDescent="0.25">
      <c r="B51" s="15" t="s">
        <v>55</v>
      </c>
      <c r="C51" s="16"/>
      <c r="D51" s="16"/>
      <c r="E51" s="16"/>
      <c r="F51" s="92" t="str">
        <f>IF(SUM(G51:U51)=SUM(F53:U53),"All Equity Returned","ERROR")</f>
        <v>All Equity Returned</v>
      </c>
      <c r="G51" s="70">
        <f>G54-G52</f>
        <v>24808.346247831243</v>
      </c>
      <c r="H51" s="70">
        <f t="shared" ref="H51:U51" si="20">H54-H52</f>
        <v>31592.67408970579</v>
      </c>
      <c r="I51" s="70">
        <f t="shared" si="20"/>
        <v>4969.8573617710645</v>
      </c>
      <c r="J51" s="70">
        <f t="shared" si="20"/>
        <v>10361.012362499518</v>
      </c>
      <c r="K51" s="70">
        <f t="shared" si="20"/>
        <v>16283.331091521977</v>
      </c>
      <c r="L51" s="70">
        <f t="shared" si="20"/>
        <v>22781.304073666644</v>
      </c>
      <c r="M51" s="70">
        <f t="shared" si="20"/>
        <v>29903.021024279398</v>
      </c>
      <c r="N51" s="70">
        <f t="shared" si="20"/>
        <v>37700.459583435426</v>
      </c>
      <c r="O51" s="70">
        <f t="shared" si="20"/>
        <v>46229.79716486836</v>
      </c>
      <c r="P51" s="70">
        <f t="shared" si="20"/>
        <v>55551.747769111054</v>
      </c>
      <c r="Q51" s="70">
        <f t="shared" si="20"/>
        <v>65731.925758314173</v>
      </c>
      <c r="R51" s="70">
        <f t="shared" si="20"/>
        <v>76841.238750007033</v>
      </c>
      <c r="S51" s="70">
        <f t="shared" si="20"/>
        <v>88956.311959655955</v>
      </c>
      <c r="T51" s="70">
        <f t="shared" si="20"/>
        <v>102159.94650826967</v>
      </c>
      <c r="U51" s="71">
        <f t="shared" si="20"/>
        <v>588637.28693717322</v>
      </c>
    </row>
    <row r="52" spans="2:21" x14ac:dyDescent="0.25">
      <c r="B52" s="15" t="s">
        <v>56</v>
      </c>
      <c r="C52" s="16"/>
      <c r="D52" s="16"/>
      <c r="E52" s="37"/>
      <c r="F52" s="70">
        <f>IF(F33="","",IF($D$4="Equity Multiple",E53*$C40-E53,F50*Preferred_Return))</f>
        <v>0</v>
      </c>
      <c r="G52" s="70">
        <f t="shared" ref="G52:U52" si="21">IF(G50="","",IF($D$4="Equity Multiple",F53*$C40-F53,G50*Preferred_Return))</f>
        <v>96200.660854568807</v>
      </c>
      <c r="H52" s="70">
        <f t="shared" si="21"/>
        <v>94215.993154742289</v>
      </c>
      <c r="I52" s="70">
        <f t="shared" si="21"/>
        <v>91688.579227565831</v>
      </c>
      <c r="J52" s="70">
        <f t="shared" si="21"/>
        <v>91290.990638624135</v>
      </c>
      <c r="K52" s="70">
        <f t="shared" si="21"/>
        <v>90462.109649624181</v>
      </c>
      <c r="L52" s="70">
        <f t="shared" si="21"/>
        <v>89159.443162302414</v>
      </c>
      <c r="M52" s="70">
        <f t="shared" si="21"/>
        <v>87336.938836409085</v>
      </c>
      <c r="N52" s="70">
        <f t="shared" si="21"/>
        <v>84944.697154466718</v>
      </c>
      <c r="O52" s="70">
        <f t="shared" si="21"/>
        <v>81928.660387791882</v>
      </c>
      <c r="P52" s="70">
        <f t="shared" si="21"/>
        <v>78230.276614602408</v>
      </c>
      <c r="Q52" s="70">
        <f t="shared" si="21"/>
        <v>73786.136793073529</v>
      </c>
      <c r="R52" s="70">
        <f t="shared" si="21"/>
        <v>68527.582732408395</v>
      </c>
      <c r="S52" s="70">
        <f t="shared" si="21"/>
        <v>62380.283632407831</v>
      </c>
      <c r="T52" s="70">
        <f t="shared" si="21"/>
        <v>55263.778675635345</v>
      </c>
      <c r="U52" s="71">
        <f t="shared" si="21"/>
        <v>47090.982954973777</v>
      </c>
    </row>
    <row r="53" spans="2:21" x14ac:dyDescent="0.25">
      <c r="B53" s="15" t="s">
        <v>57</v>
      </c>
      <c r="C53" s="16"/>
      <c r="D53" s="16"/>
      <c r="E53" s="16"/>
      <c r="F53" s="70">
        <f t="shared" ref="F53:U53" si="22">IF(F33="","",-MIN(0,F35*Equity_Share_Sponsor))</f>
        <v>1202508.26068211</v>
      </c>
      <c r="G53" s="70">
        <f t="shared" si="22"/>
        <v>0</v>
      </c>
      <c r="H53" s="70">
        <f t="shared" si="22"/>
        <v>0</v>
      </c>
      <c r="I53" s="70">
        <f t="shared" si="22"/>
        <v>0</v>
      </c>
      <c r="J53" s="70">
        <f t="shared" si="22"/>
        <v>0</v>
      </c>
      <c r="K53" s="70">
        <f t="shared" si="22"/>
        <v>0</v>
      </c>
      <c r="L53" s="70">
        <f t="shared" si="22"/>
        <v>0</v>
      </c>
      <c r="M53" s="70">
        <f t="shared" si="22"/>
        <v>0</v>
      </c>
      <c r="N53" s="70">
        <f t="shared" si="22"/>
        <v>0</v>
      </c>
      <c r="O53" s="70">
        <f t="shared" si="22"/>
        <v>0</v>
      </c>
      <c r="P53" s="70">
        <f t="shared" si="22"/>
        <v>0</v>
      </c>
      <c r="Q53" s="70">
        <f t="shared" si="22"/>
        <v>0</v>
      </c>
      <c r="R53" s="70">
        <f t="shared" si="22"/>
        <v>0</v>
      </c>
      <c r="S53" s="70">
        <f t="shared" si="22"/>
        <v>0</v>
      </c>
      <c r="T53" s="70">
        <f t="shared" si="22"/>
        <v>0</v>
      </c>
      <c r="U53" s="71">
        <f t="shared" si="22"/>
        <v>0</v>
      </c>
    </row>
    <row r="54" spans="2:21" x14ac:dyDescent="0.25">
      <c r="B54" s="15" t="s">
        <v>1</v>
      </c>
      <c r="C54" s="16"/>
      <c r="D54" s="16"/>
      <c r="E54" s="16"/>
      <c r="F54" s="70">
        <f t="shared" ref="F54:U54" si="23">IF(F41="","",F48/$I$13*$H$13)</f>
        <v>0</v>
      </c>
      <c r="G54" s="63">
        <f t="shared" si="23"/>
        <v>121009.00710240005</v>
      </c>
      <c r="H54" s="63">
        <f t="shared" si="23"/>
        <v>125808.66724444808</v>
      </c>
      <c r="I54" s="63">
        <f t="shared" si="23"/>
        <v>96658.436589336896</v>
      </c>
      <c r="J54" s="63">
        <f t="shared" si="23"/>
        <v>101652.00300112365</v>
      </c>
      <c r="K54" s="63">
        <f t="shared" si="23"/>
        <v>106745.44074114616</v>
      </c>
      <c r="L54" s="63">
        <f t="shared" si="23"/>
        <v>111940.74723596906</v>
      </c>
      <c r="M54" s="63">
        <f t="shared" si="23"/>
        <v>117239.95986068848</v>
      </c>
      <c r="N54" s="63">
        <f t="shared" si="23"/>
        <v>122645.15673790214</v>
      </c>
      <c r="O54" s="63">
        <f t="shared" si="23"/>
        <v>128158.45755266024</v>
      </c>
      <c r="P54" s="63">
        <f t="shared" si="23"/>
        <v>133782.02438371346</v>
      </c>
      <c r="Q54" s="63">
        <f t="shared" si="23"/>
        <v>139518.0625513877</v>
      </c>
      <c r="R54" s="63">
        <f t="shared" si="23"/>
        <v>145368.82148241543</v>
      </c>
      <c r="S54" s="63">
        <f t="shared" si="23"/>
        <v>151336.59559206379</v>
      </c>
      <c r="T54" s="63">
        <f t="shared" si="23"/>
        <v>157423.72518390502</v>
      </c>
      <c r="U54" s="64">
        <f t="shared" si="23"/>
        <v>635728.26989214704</v>
      </c>
    </row>
    <row r="55" spans="2:21" x14ac:dyDescent="0.25">
      <c r="B55" s="15" t="s">
        <v>58</v>
      </c>
      <c r="C55" s="16"/>
      <c r="D55" s="16"/>
      <c r="E55" s="16"/>
      <c r="F55" s="70">
        <f>MAX(F52+F50+F53-F54,0)</f>
        <v>1202508.26068211</v>
      </c>
      <c r="G55" s="63">
        <f>IF(G50="","",MAX(G50+G52+G53-G54,0))</f>
        <v>1177699.9144342786</v>
      </c>
      <c r="H55" s="63">
        <f t="shared" ref="H55:U55" si="24">IF(H50="","",MAX(H50+H52+H53-H54,0))</f>
        <v>1146107.2403445728</v>
      </c>
      <c r="I55" s="63">
        <f t="shared" si="24"/>
        <v>1141137.3829828016</v>
      </c>
      <c r="J55" s="63">
        <f t="shared" si="24"/>
        <v>1130776.3706203022</v>
      </c>
      <c r="K55" s="63">
        <f t="shared" si="24"/>
        <v>1114493.0395287802</v>
      </c>
      <c r="L55" s="63">
        <f t="shared" si="24"/>
        <v>1091711.7354551135</v>
      </c>
      <c r="M55" s="63">
        <f t="shared" si="24"/>
        <v>1061808.7144308339</v>
      </c>
      <c r="N55" s="63">
        <f t="shared" si="24"/>
        <v>1024108.2548473985</v>
      </c>
      <c r="O55" s="63">
        <f t="shared" si="24"/>
        <v>977878.45768253016</v>
      </c>
      <c r="P55" s="63">
        <f t="shared" si="24"/>
        <v>922326.70991341909</v>
      </c>
      <c r="Q55" s="63">
        <f t="shared" si="24"/>
        <v>856594.78415510489</v>
      </c>
      <c r="R55" s="63">
        <f t="shared" si="24"/>
        <v>779753.54540509789</v>
      </c>
      <c r="S55" s="63">
        <f t="shared" si="24"/>
        <v>690797.23344544182</v>
      </c>
      <c r="T55" s="63">
        <f t="shared" si="24"/>
        <v>588637.28693717218</v>
      </c>
      <c r="U55" s="64">
        <f t="shared" si="24"/>
        <v>0</v>
      </c>
    </row>
    <row r="56" spans="2:21" ht="5.0999999999999996" customHeight="1" x14ac:dyDescent="0.25">
      <c r="B56" s="15"/>
      <c r="C56" s="16"/>
      <c r="D56" s="16"/>
      <c r="E56" s="16"/>
      <c r="F56" s="70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4"/>
    </row>
    <row r="57" spans="2:21" x14ac:dyDescent="0.25">
      <c r="B57" s="15" t="str">
        <f>"Total Distributions ("&amp;B39&amp;")"</f>
        <v>Total Distributions (Return of Capital &amp; Hurdle 1 (Preferred Return))</v>
      </c>
      <c r="C57" s="16"/>
      <c r="D57" s="16"/>
      <c r="E57" s="16"/>
      <c r="F57" s="70">
        <f t="shared" ref="F57:U57" si="25">IF(F41="","",F54+F48)</f>
        <v>0</v>
      </c>
      <c r="G57" s="70">
        <f t="shared" si="25"/>
        <v>1210090.0710240004</v>
      </c>
      <c r="H57" s="70">
        <f t="shared" si="25"/>
        <v>1258086.6724444807</v>
      </c>
      <c r="I57" s="70">
        <f t="shared" si="25"/>
        <v>966584.36589336884</v>
      </c>
      <c r="J57" s="70">
        <f t="shared" si="25"/>
        <v>1016520.0300112364</v>
      </c>
      <c r="K57" s="70">
        <f t="shared" si="25"/>
        <v>1067454.4074114615</v>
      </c>
      <c r="L57" s="70">
        <f t="shared" si="25"/>
        <v>1119407.4723596906</v>
      </c>
      <c r="M57" s="70">
        <f t="shared" si="25"/>
        <v>1172399.5986068847</v>
      </c>
      <c r="N57" s="70">
        <f t="shared" si="25"/>
        <v>1226451.5673790213</v>
      </c>
      <c r="O57" s="70">
        <f t="shared" si="25"/>
        <v>1281584.5755266023</v>
      </c>
      <c r="P57" s="70">
        <f t="shared" si="25"/>
        <v>1337820.2438371347</v>
      </c>
      <c r="Q57" s="70">
        <f t="shared" si="25"/>
        <v>1395180.6255138773</v>
      </c>
      <c r="R57" s="70">
        <f t="shared" si="25"/>
        <v>1453688.2148241545</v>
      </c>
      <c r="S57" s="70">
        <f t="shared" si="25"/>
        <v>1513365.9559206378</v>
      </c>
      <c r="T57" s="70">
        <f t="shared" si="25"/>
        <v>1574237.2518390503</v>
      </c>
      <c r="U57" s="71">
        <f t="shared" si="25"/>
        <v>6357282.69892147</v>
      </c>
    </row>
    <row r="58" spans="2:21" x14ac:dyDescent="0.25">
      <c r="B58" s="15" t="s">
        <v>0</v>
      </c>
      <c r="C58" s="16"/>
      <c r="D58" s="16"/>
      <c r="E58" s="16"/>
      <c r="F58" s="70">
        <f t="shared" ref="F58:U58" si="26">IF(F41="","",MAX(F35-F57,0))</f>
        <v>0</v>
      </c>
      <c r="G58" s="70">
        <f t="shared" si="26"/>
        <v>0</v>
      </c>
      <c r="H58" s="70">
        <f t="shared" si="26"/>
        <v>0</v>
      </c>
      <c r="I58" s="70">
        <f t="shared" si="26"/>
        <v>0</v>
      </c>
      <c r="J58" s="70">
        <f t="shared" si="26"/>
        <v>0</v>
      </c>
      <c r="K58" s="70">
        <f t="shared" si="26"/>
        <v>0</v>
      </c>
      <c r="L58" s="70">
        <f t="shared" si="26"/>
        <v>0</v>
      </c>
      <c r="M58" s="70">
        <f t="shared" si="26"/>
        <v>0</v>
      </c>
      <c r="N58" s="70">
        <f t="shared" si="26"/>
        <v>0</v>
      </c>
      <c r="O58" s="70">
        <f t="shared" si="26"/>
        <v>0</v>
      </c>
      <c r="P58" s="70">
        <f t="shared" si="26"/>
        <v>0</v>
      </c>
      <c r="Q58" s="70">
        <f t="shared" si="26"/>
        <v>0</v>
      </c>
      <c r="R58" s="70">
        <f t="shared" si="26"/>
        <v>0</v>
      </c>
      <c r="S58" s="70">
        <f t="shared" si="26"/>
        <v>0</v>
      </c>
      <c r="T58" s="70">
        <f t="shared" si="26"/>
        <v>0</v>
      </c>
      <c r="U58" s="71">
        <f t="shared" si="26"/>
        <v>50343735.086292014</v>
      </c>
    </row>
    <row r="59" spans="2:21" ht="5.0999999999999996" customHeight="1" x14ac:dyDescent="0.25">
      <c r="B59" s="15"/>
      <c r="C59" s="16"/>
      <c r="D59" s="16"/>
      <c r="E59" s="16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62"/>
    </row>
    <row r="60" spans="2:21" ht="15.75" x14ac:dyDescent="0.25">
      <c r="B60" s="39" t="s">
        <v>10</v>
      </c>
      <c r="C60" s="16"/>
      <c r="D60" s="16"/>
      <c r="E60" s="16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62"/>
    </row>
    <row r="61" spans="2:21" x14ac:dyDescent="0.25">
      <c r="B61" s="84" t="s">
        <v>44</v>
      </c>
      <c r="C61" s="85">
        <f>E14</f>
        <v>0.12</v>
      </c>
      <c r="D61" s="7"/>
      <c r="E61" s="7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69"/>
    </row>
    <row r="62" spans="2:21" x14ac:dyDescent="0.25">
      <c r="B62" s="15" t="s">
        <v>8</v>
      </c>
      <c r="C62" s="16"/>
      <c r="D62" s="16"/>
      <c r="E62" s="16"/>
      <c r="F62" s="70">
        <f t="shared" ref="F62:U62" si="27">IF(F33="","",E67)</f>
        <v>0</v>
      </c>
      <c r="G62" s="70">
        <f t="shared" si="27"/>
        <v>10822574.34613899</v>
      </c>
      <c r="H62" s="70">
        <f t="shared" si="27"/>
        <v>11032202.203754067</v>
      </c>
      <c r="I62" s="70">
        <f t="shared" si="27"/>
        <v>11223788.463004524</v>
      </c>
      <c r="J62" s="70">
        <f t="shared" si="27"/>
        <v>11700717.149261035</v>
      </c>
      <c r="K62" s="70">
        <f t="shared" si="27"/>
        <v>12189935.180162245</v>
      </c>
      <c r="L62" s="70">
        <f t="shared" si="27"/>
        <v>12692018.4351114</v>
      </c>
      <c r="M62" s="70">
        <f t="shared" si="27"/>
        <v>13207593.922201045</v>
      </c>
      <c r="N62" s="70">
        <f t="shared" si="27"/>
        <v>13737345.554118974</v>
      </c>
      <c r="O62" s="70">
        <f t="shared" si="27"/>
        <v>14282020.609972132</v>
      </c>
      <c r="P62" s="70">
        <f t="shared" si="27"/>
        <v>14842436.965194846</v>
      </c>
      <c r="Q62" s="70">
        <f t="shared" si="27"/>
        <v>15419491.181564806</v>
      </c>
      <c r="R62" s="70">
        <f t="shared" si="27"/>
        <v>16014167.560390094</v>
      </c>
      <c r="S62" s="70">
        <f t="shared" si="27"/>
        <v>16627548.274295166</v>
      </c>
      <c r="T62" s="70">
        <f t="shared" si="27"/>
        <v>17260824.706882011</v>
      </c>
      <c r="U62" s="71">
        <f t="shared" si="27"/>
        <v>17915310.145052709</v>
      </c>
    </row>
    <row r="63" spans="2:21" x14ac:dyDescent="0.25">
      <c r="B63" s="15" t="s">
        <v>49</v>
      </c>
      <c r="C63" s="16"/>
      <c r="D63" s="16"/>
      <c r="E63" s="16"/>
      <c r="F63" s="70">
        <f>IF(F62="","",IF($D$4="Equity Multiple",E64*$C61-E64,F62*$C61))</f>
        <v>0</v>
      </c>
      <c r="G63" s="70">
        <f t="shared" ref="G63:U63" si="28">IF(G62="","",IF($D$4="Equity Multiple",F64*$C61-F64,G62*$C61))</f>
        <v>1298708.9215366787</v>
      </c>
      <c r="H63" s="70">
        <f t="shared" si="28"/>
        <v>1323864.2644504881</v>
      </c>
      <c r="I63" s="70">
        <f t="shared" si="28"/>
        <v>1346854.6155605428</v>
      </c>
      <c r="J63" s="70">
        <f t="shared" si="28"/>
        <v>1404086.0579113241</v>
      </c>
      <c r="K63" s="70">
        <f t="shared" si="28"/>
        <v>1462792.2216194693</v>
      </c>
      <c r="L63" s="70">
        <f t="shared" si="28"/>
        <v>1523042.2122133679</v>
      </c>
      <c r="M63" s="70">
        <f t="shared" si="28"/>
        <v>1584911.2706641252</v>
      </c>
      <c r="N63" s="70">
        <f t="shared" si="28"/>
        <v>1648481.4664942769</v>
      </c>
      <c r="O63" s="70">
        <f t="shared" si="28"/>
        <v>1713842.4731966557</v>
      </c>
      <c r="P63" s="70">
        <f t="shared" si="28"/>
        <v>1781092.4358233814</v>
      </c>
      <c r="Q63" s="70">
        <f t="shared" si="28"/>
        <v>1850338.9417877768</v>
      </c>
      <c r="R63" s="70">
        <f t="shared" si="28"/>
        <v>1921700.1072468113</v>
      </c>
      <c r="S63" s="70">
        <f t="shared" si="28"/>
        <v>1995305.7929154199</v>
      </c>
      <c r="T63" s="70">
        <f t="shared" si="28"/>
        <v>2071298.9648258414</v>
      </c>
      <c r="U63" s="71">
        <f t="shared" si="28"/>
        <v>2149837.217406325</v>
      </c>
    </row>
    <row r="64" spans="2:21" x14ac:dyDescent="0.25">
      <c r="B64" s="15" t="s">
        <v>7</v>
      </c>
      <c r="C64" s="16"/>
      <c r="D64" s="16"/>
      <c r="E64" s="16"/>
      <c r="F64" s="70">
        <f t="shared" ref="F64:U64" si="29">IF(F62="","",-MIN(0,F$35*Equity_Share_LP))</f>
        <v>10822574.34613899</v>
      </c>
      <c r="G64" s="70">
        <f t="shared" si="29"/>
        <v>0</v>
      </c>
      <c r="H64" s="70">
        <f t="shared" si="29"/>
        <v>0</v>
      </c>
      <c r="I64" s="70">
        <f t="shared" si="29"/>
        <v>0</v>
      </c>
      <c r="J64" s="70">
        <f t="shared" si="29"/>
        <v>0</v>
      </c>
      <c r="K64" s="70">
        <f t="shared" si="29"/>
        <v>0</v>
      </c>
      <c r="L64" s="70">
        <f t="shared" si="29"/>
        <v>0</v>
      </c>
      <c r="M64" s="70">
        <f t="shared" si="29"/>
        <v>0</v>
      </c>
      <c r="N64" s="70">
        <f t="shared" si="29"/>
        <v>0</v>
      </c>
      <c r="O64" s="70">
        <f t="shared" si="29"/>
        <v>0</v>
      </c>
      <c r="P64" s="70">
        <f t="shared" si="29"/>
        <v>0</v>
      </c>
      <c r="Q64" s="70">
        <f t="shared" si="29"/>
        <v>0</v>
      </c>
      <c r="R64" s="70">
        <f t="shared" si="29"/>
        <v>0</v>
      </c>
      <c r="S64" s="70">
        <f t="shared" si="29"/>
        <v>0</v>
      </c>
      <c r="T64" s="70">
        <f t="shared" si="29"/>
        <v>0</v>
      </c>
      <c r="U64" s="71">
        <f t="shared" si="29"/>
        <v>0</v>
      </c>
    </row>
    <row r="65" spans="2:21" x14ac:dyDescent="0.25">
      <c r="B65" s="15" t="s">
        <v>6</v>
      </c>
      <c r="C65" s="16"/>
      <c r="D65" s="16"/>
      <c r="E65" s="16"/>
      <c r="F65" s="70">
        <f t="shared" ref="F65:U65" si="30">F48</f>
        <v>0</v>
      </c>
      <c r="G65" s="70">
        <f t="shared" si="30"/>
        <v>1089081.0639216003</v>
      </c>
      <c r="H65" s="70">
        <f t="shared" si="30"/>
        <v>1132278.0052000326</v>
      </c>
      <c r="I65" s="70">
        <f t="shared" si="30"/>
        <v>869925.929304032</v>
      </c>
      <c r="J65" s="70">
        <f t="shared" si="30"/>
        <v>914868.02701011277</v>
      </c>
      <c r="K65" s="70">
        <f t="shared" si="30"/>
        <v>960708.96667031536</v>
      </c>
      <c r="L65" s="70">
        <f t="shared" si="30"/>
        <v>1007466.7251237215</v>
      </c>
      <c r="M65" s="70">
        <f t="shared" si="30"/>
        <v>1055159.6387461962</v>
      </c>
      <c r="N65" s="70">
        <f t="shared" si="30"/>
        <v>1103806.4106411191</v>
      </c>
      <c r="O65" s="70">
        <f t="shared" si="30"/>
        <v>1153426.1179739421</v>
      </c>
      <c r="P65" s="70">
        <f t="shared" si="30"/>
        <v>1204038.2194534212</v>
      </c>
      <c r="Q65" s="70">
        <f t="shared" si="30"/>
        <v>1255662.5629624894</v>
      </c>
      <c r="R65" s="70">
        <f t="shared" si="30"/>
        <v>1308319.393341739</v>
      </c>
      <c r="S65" s="70">
        <f t="shared" si="30"/>
        <v>1362029.360328574</v>
      </c>
      <c r="T65" s="70">
        <f t="shared" si="30"/>
        <v>1416813.5266551452</v>
      </c>
      <c r="U65" s="71">
        <f t="shared" si="30"/>
        <v>5721554.4290293232</v>
      </c>
    </row>
    <row r="66" spans="2:21" x14ac:dyDescent="0.25">
      <c r="B66" s="15" t="str">
        <f>"Distributions to LP "&amp;B60</f>
        <v>Distributions to LP Hurdle 2</v>
      </c>
      <c r="C66" s="16"/>
      <c r="D66" s="16"/>
      <c r="E66" s="16"/>
      <c r="F66" s="70">
        <f t="shared" ref="F66:U66" si="31">IF(F62="","",MIN(F62+F63-F65,F58*$I$14))</f>
        <v>0</v>
      </c>
      <c r="G66" s="70">
        <f t="shared" si="31"/>
        <v>0</v>
      </c>
      <c r="H66" s="70">
        <f t="shared" si="31"/>
        <v>0</v>
      </c>
      <c r="I66" s="70">
        <f t="shared" si="31"/>
        <v>0</v>
      </c>
      <c r="J66" s="70">
        <f t="shared" si="31"/>
        <v>0</v>
      </c>
      <c r="K66" s="70">
        <f t="shared" si="31"/>
        <v>0</v>
      </c>
      <c r="L66" s="70">
        <f t="shared" si="31"/>
        <v>0</v>
      </c>
      <c r="M66" s="70">
        <f t="shared" si="31"/>
        <v>0</v>
      </c>
      <c r="N66" s="70">
        <f t="shared" si="31"/>
        <v>0</v>
      </c>
      <c r="O66" s="70">
        <f t="shared" si="31"/>
        <v>0</v>
      </c>
      <c r="P66" s="70">
        <f t="shared" si="31"/>
        <v>0</v>
      </c>
      <c r="Q66" s="70">
        <f t="shared" si="31"/>
        <v>0</v>
      </c>
      <c r="R66" s="70">
        <f t="shared" si="31"/>
        <v>0</v>
      </c>
      <c r="S66" s="70">
        <f t="shared" si="31"/>
        <v>0</v>
      </c>
      <c r="T66" s="70">
        <f t="shared" si="31"/>
        <v>0</v>
      </c>
      <c r="U66" s="71">
        <f t="shared" si="31"/>
        <v>14343592.933429711</v>
      </c>
    </row>
    <row r="67" spans="2:21" x14ac:dyDescent="0.25">
      <c r="B67" s="15" t="s">
        <v>5</v>
      </c>
      <c r="C67" s="16"/>
      <c r="D67" s="16"/>
      <c r="E67" s="16"/>
      <c r="F67" s="70">
        <f>F62+F64-F66</f>
        <v>10822574.34613899</v>
      </c>
      <c r="G67" s="70">
        <f t="shared" ref="G67:U67" si="32">IF(G62="","",G62+G63+G64-G65-G66)</f>
        <v>11032202.203754067</v>
      </c>
      <c r="H67" s="70">
        <f t="shared" si="32"/>
        <v>11223788.463004524</v>
      </c>
      <c r="I67" s="70">
        <f t="shared" si="32"/>
        <v>11700717.149261035</v>
      </c>
      <c r="J67" s="70">
        <f t="shared" si="32"/>
        <v>12189935.180162245</v>
      </c>
      <c r="K67" s="70">
        <f t="shared" si="32"/>
        <v>12692018.4351114</v>
      </c>
      <c r="L67" s="70">
        <f t="shared" si="32"/>
        <v>13207593.922201045</v>
      </c>
      <c r="M67" s="70">
        <f t="shared" si="32"/>
        <v>13737345.554118974</v>
      </c>
      <c r="N67" s="70">
        <f t="shared" si="32"/>
        <v>14282020.609972132</v>
      </c>
      <c r="O67" s="70">
        <f t="shared" si="32"/>
        <v>14842436.965194846</v>
      </c>
      <c r="P67" s="70">
        <f t="shared" si="32"/>
        <v>15419491.181564806</v>
      </c>
      <c r="Q67" s="70">
        <f t="shared" si="32"/>
        <v>16014167.560390094</v>
      </c>
      <c r="R67" s="70">
        <f t="shared" si="32"/>
        <v>16627548.274295166</v>
      </c>
      <c r="S67" s="70">
        <f t="shared" si="32"/>
        <v>17260824.706882011</v>
      </c>
      <c r="T67" s="70">
        <f t="shared" si="32"/>
        <v>17915310.145052709</v>
      </c>
      <c r="U67" s="71">
        <f t="shared" si="32"/>
        <v>0</v>
      </c>
    </row>
    <row r="68" spans="2:21" x14ac:dyDescent="0.25">
      <c r="B68" s="76">
        <f>C61</f>
        <v>0.12</v>
      </c>
      <c r="C68" s="16"/>
      <c r="D68" s="16"/>
      <c r="E68" s="93">
        <f>IF($D$4="IRR",IRR(F68:U68),SUMIF(F68:U68,"&gt;0")/-SUMIF(F68:U68,"&lt;0"))</f>
        <v>0.11999999999999988</v>
      </c>
      <c r="F68" s="70">
        <f>IF(F62="","",-F64+F66)</f>
        <v>-10822574.34613899</v>
      </c>
      <c r="G68" s="70">
        <f t="shared" ref="G68:U68" si="33">IF(G62="","",-G64+G65+G66)</f>
        <v>1089081.0639216003</v>
      </c>
      <c r="H68" s="70">
        <f t="shared" si="33"/>
        <v>1132278.0052000326</v>
      </c>
      <c r="I68" s="70">
        <f t="shared" si="33"/>
        <v>869925.929304032</v>
      </c>
      <c r="J68" s="70">
        <f t="shared" si="33"/>
        <v>914868.02701011277</v>
      </c>
      <c r="K68" s="70">
        <f t="shared" si="33"/>
        <v>960708.96667031536</v>
      </c>
      <c r="L68" s="70">
        <f t="shared" si="33"/>
        <v>1007466.7251237215</v>
      </c>
      <c r="M68" s="70">
        <f t="shared" si="33"/>
        <v>1055159.6387461962</v>
      </c>
      <c r="N68" s="70">
        <f t="shared" si="33"/>
        <v>1103806.4106411191</v>
      </c>
      <c r="O68" s="70">
        <f t="shared" si="33"/>
        <v>1153426.1179739421</v>
      </c>
      <c r="P68" s="70">
        <f t="shared" si="33"/>
        <v>1204038.2194534212</v>
      </c>
      <c r="Q68" s="70">
        <f t="shared" si="33"/>
        <v>1255662.5629624894</v>
      </c>
      <c r="R68" s="70">
        <f t="shared" si="33"/>
        <v>1308319.393341739</v>
      </c>
      <c r="S68" s="70">
        <f t="shared" si="33"/>
        <v>1362029.360328574</v>
      </c>
      <c r="T68" s="70">
        <f t="shared" si="33"/>
        <v>1416813.5266551452</v>
      </c>
      <c r="U68" s="71">
        <f t="shared" si="33"/>
        <v>20065147.362459034</v>
      </c>
    </row>
    <row r="69" spans="2:21" ht="5.0999999999999996" customHeight="1" x14ac:dyDescent="0.25">
      <c r="B69" s="40" t="s">
        <v>4</v>
      </c>
      <c r="C69" s="41" t="s">
        <v>4</v>
      </c>
      <c r="D69" s="41" t="s">
        <v>4</v>
      </c>
      <c r="E69" s="41" t="s">
        <v>4</v>
      </c>
      <c r="F69" s="72" t="str">
        <f t="shared" ref="F69:U69" si="34">IF(F62="","",".")</f>
        <v>.</v>
      </c>
      <c r="G69" s="72" t="str">
        <f t="shared" si="34"/>
        <v>.</v>
      </c>
      <c r="H69" s="72" t="str">
        <f t="shared" si="34"/>
        <v>.</v>
      </c>
      <c r="I69" s="72" t="str">
        <f t="shared" si="34"/>
        <v>.</v>
      </c>
      <c r="J69" s="72" t="str">
        <f t="shared" si="34"/>
        <v>.</v>
      </c>
      <c r="K69" s="72" t="str">
        <f t="shared" si="34"/>
        <v>.</v>
      </c>
      <c r="L69" s="72" t="str">
        <f t="shared" si="34"/>
        <v>.</v>
      </c>
      <c r="M69" s="72" t="str">
        <f t="shared" si="34"/>
        <v>.</v>
      </c>
      <c r="N69" s="72" t="str">
        <f t="shared" si="34"/>
        <v>.</v>
      </c>
      <c r="O69" s="72" t="str">
        <f t="shared" si="34"/>
        <v>.</v>
      </c>
      <c r="P69" s="72" t="str">
        <f t="shared" si="34"/>
        <v>.</v>
      </c>
      <c r="Q69" s="72" t="str">
        <f t="shared" si="34"/>
        <v>.</v>
      </c>
      <c r="R69" s="72" t="str">
        <f t="shared" si="34"/>
        <v>.</v>
      </c>
      <c r="S69" s="72" t="str">
        <f t="shared" si="34"/>
        <v>.</v>
      </c>
      <c r="T69" s="72" t="str">
        <f t="shared" si="34"/>
        <v>.</v>
      </c>
      <c r="U69" s="73" t="str">
        <f t="shared" si="34"/>
        <v>.</v>
      </c>
    </row>
    <row r="70" spans="2:21" x14ac:dyDescent="0.25">
      <c r="B70" s="15" t="s">
        <v>2</v>
      </c>
      <c r="C70" s="16"/>
      <c r="D70" s="16"/>
      <c r="E70" s="16"/>
      <c r="F70" s="70">
        <f t="shared" ref="F70:U70" si="35">IF(F62="","",F66)</f>
        <v>0</v>
      </c>
      <c r="G70" s="70">
        <f t="shared" si="35"/>
        <v>0</v>
      </c>
      <c r="H70" s="70">
        <f t="shared" si="35"/>
        <v>0</v>
      </c>
      <c r="I70" s="70">
        <f t="shared" si="35"/>
        <v>0</v>
      </c>
      <c r="J70" s="70">
        <f t="shared" si="35"/>
        <v>0</v>
      </c>
      <c r="K70" s="70">
        <f t="shared" si="35"/>
        <v>0</v>
      </c>
      <c r="L70" s="70">
        <f t="shared" si="35"/>
        <v>0</v>
      </c>
      <c r="M70" s="70">
        <f t="shared" si="35"/>
        <v>0</v>
      </c>
      <c r="N70" s="70">
        <f t="shared" si="35"/>
        <v>0</v>
      </c>
      <c r="O70" s="70">
        <f t="shared" si="35"/>
        <v>0</v>
      </c>
      <c r="P70" s="70">
        <f t="shared" si="35"/>
        <v>0</v>
      </c>
      <c r="Q70" s="70">
        <f t="shared" si="35"/>
        <v>0</v>
      </c>
      <c r="R70" s="70">
        <f t="shared" si="35"/>
        <v>0</v>
      </c>
      <c r="S70" s="70">
        <f t="shared" si="35"/>
        <v>0</v>
      </c>
      <c r="T70" s="70">
        <f t="shared" si="35"/>
        <v>0</v>
      </c>
      <c r="U70" s="71">
        <f t="shared" si="35"/>
        <v>14343592.933429711</v>
      </c>
    </row>
    <row r="71" spans="2:21" x14ac:dyDescent="0.25">
      <c r="B71" s="15" t="s">
        <v>1</v>
      </c>
      <c r="C71" s="16"/>
      <c r="D71" s="16"/>
      <c r="E71" s="16"/>
      <c r="F71" s="70">
        <f t="shared" ref="F71:U71" si="36">IF(F62="","",F70/VLOOKUP($B60,Promote_Structure,8,FALSE)*VLOOKUP($B60,Promote_Structure,7,FALSE))</f>
        <v>0</v>
      </c>
      <c r="G71" s="70">
        <f t="shared" si="36"/>
        <v>0</v>
      </c>
      <c r="H71" s="70">
        <f t="shared" si="36"/>
        <v>0</v>
      </c>
      <c r="I71" s="70">
        <f t="shared" si="36"/>
        <v>0</v>
      </c>
      <c r="J71" s="70">
        <f t="shared" si="36"/>
        <v>0</v>
      </c>
      <c r="K71" s="70">
        <f t="shared" si="36"/>
        <v>0</v>
      </c>
      <c r="L71" s="70">
        <f t="shared" si="36"/>
        <v>0</v>
      </c>
      <c r="M71" s="70">
        <f t="shared" si="36"/>
        <v>0</v>
      </c>
      <c r="N71" s="70">
        <f t="shared" si="36"/>
        <v>0</v>
      </c>
      <c r="O71" s="70">
        <f t="shared" si="36"/>
        <v>0</v>
      </c>
      <c r="P71" s="70">
        <f t="shared" si="36"/>
        <v>0</v>
      </c>
      <c r="Q71" s="70">
        <f t="shared" si="36"/>
        <v>0</v>
      </c>
      <c r="R71" s="70">
        <f t="shared" si="36"/>
        <v>0</v>
      </c>
      <c r="S71" s="70">
        <f t="shared" si="36"/>
        <v>0</v>
      </c>
      <c r="T71" s="70">
        <f t="shared" si="36"/>
        <v>0</v>
      </c>
      <c r="U71" s="71">
        <f t="shared" si="36"/>
        <v>4406201.7507921336</v>
      </c>
    </row>
    <row r="72" spans="2:21" x14ac:dyDescent="0.25">
      <c r="B72" s="15" t="str">
        <f>"Total Distributions ("&amp;B60&amp;")"</f>
        <v>Total Distributions (Hurdle 2)</v>
      </c>
      <c r="C72" s="16"/>
      <c r="D72" s="16"/>
      <c r="E72" s="16"/>
      <c r="F72" s="70">
        <f t="shared" ref="F72:U72" si="37">IF(F62="","",F70+F71)</f>
        <v>0</v>
      </c>
      <c r="G72" s="70">
        <f t="shared" si="37"/>
        <v>0</v>
      </c>
      <c r="H72" s="70">
        <f t="shared" si="37"/>
        <v>0</v>
      </c>
      <c r="I72" s="70">
        <f t="shared" si="37"/>
        <v>0</v>
      </c>
      <c r="J72" s="70">
        <f t="shared" si="37"/>
        <v>0</v>
      </c>
      <c r="K72" s="70">
        <f t="shared" si="37"/>
        <v>0</v>
      </c>
      <c r="L72" s="70">
        <f t="shared" si="37"/>
        <v>0</v>
      </c>
      <c r="M72" s="70">
        <f t="shared" si="37"/>
        <v>0</v>
      </c>
      <c r="N72" s="70">
        <f t="shared" si="37"/>
        <v>0</v>
      </c>
      <c r="O72" s="70">
        <f t="shared" si="37"/>
        <v>0</v>
      </c>
      <c r="P72" s="70">
        <f t="shared" si="37"/>
        <v>0</v>
      </c>
      <c r="Q72" s="70">
        <f t="shared" si="37"/>
        <v>0</v>
      </c>
      <c r="R72" s="70">
        <f t="shared" si="37"/>
        <v>0</v>
      </c>
      <c r="S72" s="70">
        <f t="shared" si="37"/>
        <v>0</v>
      </c>
      <c r="T72" s="70">
        <f t="shared" si="37"/>
        <v>0</v>
      </c>
      <c r="U72" s="71">
        <f t="shared" si="37"/>
        <v>18749794.684221845</v>
      </c>
    </row>
    <row r="73" spans="2:21" x14ac:dyDescent="0.25">
      <c r="B73" s="15" t="s">
        <v>0</v>
      </c>
      <c r="C73" s="16"/>
      <c r="D73" s="16"/>
      <c r="E73" s="16"/>
      <c r="F73" s="70">
        <f t="shared" ref="F73:U73" si="38">IF(F62="","",MAX(F$35-F57-F72,0))</f>
        <v>0</v>
      </c>
      <c r="G73" s="70">
        <f t="shared" si="38"/>
        <v>0</v>
      </c>
      <c r="H73" s="70">
        <f t="shared" si="38"/>
        <v>0</v>
      </c>
      <c r="I73" s="70">
        <f t="shared" si="38"/>
        <v>0</v>
      </c>
      <c r="J73" s="70">
        <f t="shared" si="38"/>
        <v>0</v>
      </c>
      <c r="K73" s="70">
        <f t="shared" si="38"/>
        <v>0</v>
      </c>
      <c r="L73" s="70">
        <f t="shared" si="38"/>
        <v>0</v>
      </c>
      <c r="M73" s="70">
        <f t="shared" si="38"/>
        <v>0</v>
      </c>
      <c r="N73" s="70">
        <f t="shared" si="38"/>
        <v>0</v>
      </c>
      <c r="O73" s="70">
        <f t="shared" si="38"/>
        <v>0</v>
      </c>
      <c r="P73" s="70">
        <f t="shared" si="38"/>
        <v>0</v>
      </c>
      <c r="Q73" s="70">
        <f t="shared" si="38"/>
        <v>0</v>
      </c>
      <c r="R73" s="70">
        <f t="shared" si="38"/>
        <v>0</v>
      </c>
      <c r="S73" s="70">
        <f t="shared" si="38"/>
        <v>0</v>
      </c>
      <c r="T73" s="70">
        <f t="shared" si="38"/>
        <v>0</v>
      </c>
      <c r="U73" s="71">
        <f t="shared" si="38"/>
        <v>31593940.402070168</v>
      </c>
    </row>
    <row r="74" spans="2:21" ht="5.0999999999999996" customHeight="1" x14ac:dyDescent="0.25">
      <c r="B74" s="15"/>
      <c r="C74" s="16"/>
      <c r="D74" s="16"/>
      <c r="E74" s="16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62"/>
    </row>
    <row r="75" spans="2:21" ht="15.75" x14ac:dyDescent="0.25">
      <c r="B75" s="39" t="s">
        <v>9</v>
      </c>
      <c r="C75" s="16"/>
      <c r="D75" s="16"/>
      <c r="E75" s="16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62"/>
    </row>
    <row r="76" spans="2:21" x14ac:dyDescent="0.25">
      <c r="B76" s="84" t="s">
        <v>44</v>
      </c>
      <c r="C76" s="85">
        <f>E15</f>
        <v>0.16</v>
      </c>
      <c r="D76" s="7"/>
      <c r="E76" s="7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69"/>
    </row>
    <row r="77" spans="2:21" x14ac:dyDescent="0.25">
      <c r="B77" s="15" t="s">
        <v>8</v>
      </c>
      <c r="C77" s="16"/>
      <c r="D77" s="16"/>
      <c r="E77" s="16"/>
      <c r="F77" s="70">
        <f t="shared" ref="F77:U77" si="39">IF(F54="","",E82)</f>
        <v>0</v>
      </c>
      <c r="G77" s="70">
        <f t="shared" si="39"/>
        <v>10822574.34613899</v>
      </c>
      <c r="H77" s="70">
        <f t="shared" si="39"/>
        <v>11465105.177599628</v>
      </c>
      <c r="I77" s="70">
        <f t="shared" si="39"/>
        <v>12167244.000815537</v>
      </c>
      <c r="J77" s="70">
        <f t="shared" si="39"/>
        <v>13244077.111641992</v>
      </c>
      <c r="K77" s="70">
        <f t="shared" si="39"/>
        <v>14448261.422494598</v>
      </c>
      <c r="L77" s="70">
        <f t="shared" si="39"/>
        <v>15799274.283423418</v>
      </c>
      <c r="M77" s="70">
        <f t="shared" si="39"/>
        <v>17319691.443647444</v>
      </c>
      <c r="N77" s="70">
        <f t="shared" si="39"/>
        <v>19035682.435884841</v>
      </c>
      <c r="O77" s="70">
        <f t="shared" si="39"/>
        <v>20977585.214985296</v>
      </c>
      <c r="P77" s="70">
        <f t="shared" si="39"/>
        <v>23180572.731409002</v>
      </c>
      <c r="Q77" s="70">
        <f t="shared" si="39"/>
        <v>25685426.148981024</v>
      </c>
      <c r="R77" s="70">
        <f t="shared" si="39"/>
        <v>28539431.769855496</v>
      </c>
      <c r="S77" s="70">
        <f t="shared" si="39"/>
        <v>31797421.459690634</v>
      </c>
      <c r="T77" s="70">
        <f t="shared" si="39"/>
        <v>35522979.53291256</v>
      </c>
      <c r="U77" s="71">
        <f t="shared" si="39"/>
        <v>39789842.731523424</v>
      </c>
    </row>
    <row r="78" spans="2:21" x14ac:dyDescent="0.25">
      <c r="B78" s="15" t="s">
        <v>51</v>
      </c>
      <c r="C78" s="16"/>
      <c r="D78" s="16"/>
      <c r="E78" s="16"/>
      <c r="F78" s="70">
        <f>IF(F77="","",IF($D$4="Equity Multiple",E79*$C76-E79,F77*$C76))</f>
        <v>0</v>
      </c>
      <c r="G78" s="70">
        <f t="shared" ref="G78" si="40">IF(G77="","",IF($D$4="Equity Multiple",F79*$C76-F79,G77*$C76))</f>
        <v>1731611.8953822383</v>
      </c>
      <c r="H78" s="70">
        <f t="shared" ref="H78" si="41">IF(H77="","",IF($D$4="Equity Multiple",G79*$C76-G79,H77*$C76))</f>
        <v>1834416.8284159405</v>
      </c>
      <c r="I78" s="70">
        <f t="shared" ref="I78" si="42">IF(I77="","",IF($D$4="Equity Multiple",H79*$C76-H79,I77*$C76))</f>
        <v>1946759.040130486</v>
      </c>
      <c r="J78" s="70">
        <f t="shared" ref="J78" si="43">IF(J77="","",IF($D$4="Equity Multiple",I79*$C76-I79,J77*$C76))</f>
        <v>2119052.3378627189</v>
      </c>
      <c r="K78" s="70">
        <f t="shared" ref="K78" si="44">IF(K77="","",IF($D$4="Equity Multiple",J79*$C76-J79,K77*$C76))</f>
        <v>2311721.8275991357</v>
      </c>
      <c r="L78" s="70">
        <f t="shared" ref="L78" si="45">IF(L77="","",IF($D$4="Equity Multiple",K79*$C76-K79,L77*$C76))</f>
        <v>2527883.8853477468</v>
      </c>
      <c r="M78" s="70">
        <f t="shared" ref="M78" si="46">IF(M77="","",IF($D$4="Equity Multiple",L79*$C76-L79,M77*$C76))</f>
        <v>2771150.6309835911</v>
      </c>
      <c r="N78" s="70">
        <f t="shared" ref="N78" si="47">IF(N77="","",IF($D$4="Equity Multiple",M79*$C76-M79,N77*$C76))</f>
        <v>3045709.1897415747</v>
      </c>
      <c r="O78" s="70">
        <f t="shared" ref="O78" si="48">IF(O77="","",IF($D$4="Equity Multiple",N79*$C76-N79,O77*$C76))</f>
        <v>3356413.6343976473</v>
      </c>
      <c r="P78" s="70">
        <f t="shared" ref="P78" si="49">IF(P77="","",IF($D$4="Equity Multiple",O79*$C76-O79,P77*$C76))</f>
        <v>3708891.6370254406</v>
      </c>
      <c r="Q78" s="70">
        <f t="shared" ref="Q78" si="50">IF(Q77="","",IF($D$4="Equity Multiple",P79*$C76-P79,Q77*$C76))</f>
        <v>4109668.183836964</v>
      </c>
      <c r="R78" s="70">
        <f t="shared" ref="R78" si="51">IF(R77="","",IF($D$4="Equity Multiple",Q79*$C76-Q79,R77*$C76))</f>
        <v>4566309.0831768792</v>
      </c>
      <c r="S78" s="70">
        <f t="shared" ref="S78" si="52">IF(S77="","",IF($D$4="Equity Multiple",R79*$C76-R79,S77*$C76))</f>
        <v>5087587.4335505012</v>
      </c>
      <c r="T78" s="70">
        <f t="shared" ref="T78" si="53">IF(T77="","",IF($D$4="Equity Multiple",S79*$C76-S79,T77*$C76))</f>
        <v>5683676.7252660096</v>
      </c>
      <c r="U78" s="71">
        <f t="shared" ref="U78" si="54">IF(U77="","",IF($D$4="Equity Multiple",T79*$C76-T79,U77*$C76))</f>
        <v>6366374.8370437482</v>
      </c>
    </row>
    <row r="79" spans="2:21" x14ac:dyDescent="0.25">
      <c r="B79" s="15" t="s">
        <v>7</v>
      </c>
      <c r="C79" s="16"/>
      <c r="D79" s="16"/>
      <c r="E79" s="16"/>
      <c r="F79" s="70">
        <f t="shared" ref="F79:U79" si="55">IF(F77="","",-MIN(0,F$35*Equity_Share_LP))</f>
        <v>10822574.34613899</v>
      </c>
      <c r="G79" s="70">
        <f t="shared" si="55"/>
        <v>0</v>
      </c>
      <c r="H79" s="70">
        <f t="shared" si="55"/>
        <v>0</v>
      </c>
      <c r="I79" s="70">
        <f t="shared" si="55"/>
        <v>0</v>
      </c>
      <c r="J79" s="70">
        <f t="shared" si="55"/>
        <v>0</v>
      </c>
      <c r="K79" s="70">
        <f t="shared" si="55"/>
        <v>0</v>
      </c>
      <c r="L79" s="70">
        <f t="shared" si="55"/>
        <v>0</v>
      </c>
      <c r="M79" s="70">
        <f t="shared" si="55"/>
        <v>0</v>
      </c>
      <c r="N79" s="70">
        <f t="shared" si="55"/>
        <v>0</v>
      </c>
      <c r="O79" s="70">
        <f t="shared" si="55"/>
        <v>0</v>
      </c>
      <c r="P79" s="70">
        <f t="shared" si="55"/>
        <v>0</v>
      </c>
      <c r="Q79" s="70">
        <f t="shared" si="55"/>
        <v>0</v>
      </c>
      <c r="R79" s="70">
        <f t="shared" si="55"/>
        <v>0</v>
      </c>
      <c r="S79" s="70">
        <f t="shared" si="55"/>
        <v>0</v>
      </c>
      <c r="T79" s="70">
        <f t="shared" si="55"/>
        <v>0</v>
      </c>
      <c r="U79" s="71">
        <f t="shared" si="55"/>
        <v>0</v>
      </c>
    </row>
    <row r="80" spans="2:21" x14ac:dyDescent="0.25">
      <c r="B80" s="15" t="s">
        <v>6</v>
      </c>
      <c r="C80" s="16"/>
      <c r="D80" s="16"/>
      <c r="E80" s="16"/>
      <c r="F80" s="70">
        <f t="shared" ref="F80:U80" si="56">IF(F77="","",F70+F48)</f>
        <v>0</v>
      </c>
      <c r="G80" s="70">
        <f t="shared" si="56"/>
        <v>1089081.0639216003</v>
      </c>
      <c r="H80" s="70">
        <f t="shared" si="56"/>
        <v>1132278.0052000326</v>
      </c>
      <c r="I80" s="70">
        <f t="shared" si="56"/>
        <v>869925.929304032</v>
      </c>
      <c r="J80" s="70">
        <f t="shared" si="56"/>
        <v>914868.02701011277</v>
      </c>
      <c r="K80" s="70">
        <f t="shared" si="56"/>
        <v>960708.96667031536</v>
      </c>
      <c r="L80" s="70">
        <f t="shared" si="56"/>
        <v>1007466.7251237215</v>
      </c>
      <c r="M80" s="70">
        <f t="shared" si="56"/>
        <v>1055159.6387461962</v>
      </c>
      <c r="N80" s="70">
        <f t="shared" si="56"/>
        <v>1103806.4106411191</v>
      </c>
      <c r="O80" s="70">
        <f t="shared" si="56"/>
        <v>1153426.1179739421</v>
      </c>
      <c r="P80" s="70">
        <f t="shared" si="56"/>
        <v>1204038.2194534212</v>
      </c>
      <c r="Q80" s="70">
        <f t="shared" si="56"/>
        <v>1255662.5629624894</v>
      </c>
      <c r="R80" s="70">
        <f t="shared" si="56"/>
        <v>1308319.393341739</v>
      </c>
      <c r="S80" s="70">
        <f t="shared" si="56"/>
        <v>1362029.360328574</v>
      </c>
      <c r="T80" s="70">
        <f t="shared" si="56"/>
        <v>1416813.5266551452</v>
      </c>
      <c r="U80" s="71">
        <f t="shared" si="56"/>
        <v>20065147.362459034</v>
      </c>
    </row>
    <row r="81" spans="2:21" x14ac:dyDescent="0.25">
      <c r="B81" s="15" t="str">
        <f>"Distributions to LP "&amp;B75</f>
        <v>Distributions to LP Hurdle 3</v>
      </c>
      <c r="C81" s="16"/>
      <c r="D81" s="16"/>
      <c r="E81" s="16"/>
      <c r="F81" s="70">
        <f t="shared" ref="F81:U81" si="57">IF(F77="","",MIN(F77+F78-F80,F73*$I$15))</f>
        <v>0</v>
      </c>
      <c r="G81" s="70">
        <f t="shared" si="57"/>
        <v>0</v>
      </c>
      <c r="H81" s="70">
        <f t="shared" si="57"/>
        <v>0</v>
      </c>
      <c r="I81" s="70">
        <f t="shared" si="57"/>
        <v>0</v>
      </c>
      <c r="J81" s="70">
        <f t="shared" si="57"/>
        <v>0</v>
      </c>
      <c r="K81" s="70">
        <f t="shared" si="57"/>
        <v>0</v>
      </c>
      <c r="L81" s="70">
        <f t="shared" si="57"/>
        <v>0</v>
      </c>
      <c r="M81" s="70">
        <f t="shared" si="57"/>
        <v>0</v>
      </c>
      <c r="N81" s="70">
        <f t="shared" si="57"/>
        <v>0</v>
      </c>
      <c r="O81" s="70">
        <f t="shared" si="57"/>
        <v>0</v>
      </c>
      <c r="P81" s="70">
        <f t="shared" si="57"/>
        <v>0</v>
      </c>
      <c r="Q81" s="70">
        <f t="shared" si="57"/>
        <v>0</v>
      </c>
      <c r="R81" s="70">
        <f t="shared" si="57"/>
        <v>0</v>
      </c>
      <c r="S81" s="70">
        <f t="shared" si="57"/>
        <v>0</v>
      </c>
      <c r="T81" s="70">
        <f t="shared" si="57"/>
        <v>0</v>
      </c>
      <c r="U81" s="71">
        <f t="shared" si="57"/>
        <v>22747637.089490525</v>
      </c>
    </row>
    <row r="82" spans="2:21" x14ac:dyDescent="0.25">
      <c r="B82" s="15" t="s">
        <v>5</v>
      </c>
      <c r="C82" s="16"/>
      <c r="D82" s="16"/>
      <c r="E82" s="16"/>
      <c r="F82" s="70">
        <f>F77+F79-F81</f>
        <v>10822574.34613899</v>
      </c>
      <c r="G82" s="70">
        <f t="shared" ref="G82:U82" si="58">IF(G77="","",G77+G78+G79-G80-G81)</f>
        <v>11465105.177599628</v>
      </c>
      <c r="H82" s="70">
        <f t="shared" si="58"/>
        <v>12167244.000815537</v>
      </c>
      <c r="I82" s="70">
        <f t="shared" si="58"/>
        <v>13244077.111641992</v>
      </c>
      <c r="J82" s="70">
        <f t="shared" si="58"/>
        <v>14448261.422494598</v>
      </c>
      <c r="K82" s="70">
        <f t="shared" si="58"/>
        <v>15799274.283423418</v>
      </c>
      <c r="L82" s="70">
        <f t="shared" si="58"/>
        <v>17319691.443647444</v>
      </c>
      <c r="M82" s="70">
        <f t="shared" si="58"/>
        <v>19035682.435884841</v>
      </c>
      <c r="N82" s="70">
        <f t="shared" si="58"/>
        <v>20977585.214985296</v>
      </c>
      <c r="O82" s="70">
        <f t="shared" si="58"/>
        <v>23180572.731409002</v>
      </c>
      <c r="P82" s="70">
        <f t="shared" si="58"/>
        <v>25685426.148981024</v>
      </c>
      <c r="Q82" s="70">
        <f t="shared" si="58"/>
        <v>28539431.769855496</v>
      </c>
      <c r="R82" s="70">
        <f t="shared" si="58"/>
        <v>31797421.459690634</v>
      </c>
      <c r="S82" s="70">
        <f t="shared" si="58"/>
        <v>35522979.53291256</v>
      </c>
      <c r="T82" s="70">
        <f t="shared" si="58"/>
        <v>39789842.731523424</v>
      </c>
      <c r="U82" s="71">
        <f t="shared" si="58"/>
        <v>3343433.1166176125</v>
      </c>
    </row>
    <row r="83" spans="2:21" x14ac:dyDescent="0.25">
      <c r="B83" s="76">
        <f>C76</f>
        <v>0.16</v>
      </c>
      <c r="C83" s="16"/>
      <c r="D83" s="16"/>
      <c r="E83" s="93">
        <f>IF($D$4="IRR",IRR(F83:U83),SUMIF(F83:U83,"&gt;0")/-SUMIF(F83:U83,"&lt;0"))</f>
        <v>0.15597677984854541</v>
      </c>
      <c r="F83" s="70">
        <f>IF(F77="","",-F79+F81)</f>
        <v>-10822574.34613899</v>
      </c>
      <c r="G83" s="70">
        <f t="shared" ref="G83:U83" si="59">IF(G77="","",-G79+G80+G81)</f>
        <v>1089081.0639216003</v>
      </c>
      <c r="H83" s="70">
        <f t="shared" si="59"/>
        <v>1132278.0052000326</v>
      </c>
      <c r="I83" s="70">
        <f t="shared" si="59"/>
        <v>869925.929304032</v>
      </c>
      <c r="J83" s="70">
        <f t="shared" si="59"/>
        <v>914868.02701011277</v>
      </c>
      <c r="K83" s="70">
        <f t="shared" si="59"/>
        <v>960708.96667031536</v>
      </c>
      <c r="L83" s="70">
        <f t="shared" si="59"/>
        <v>1007466.7251237215</v>
      </c>
      <c r="M83" s="70">
        <f t="shared" si="59"/>
        <v>1055159.6387461962</v>
      </c>
      <c r="N83" s="70">
        <f t="shared" si="59"/>
        <v>1103806.4106411191</v>
      </c>
      <c r="O83" s="70">
        <f t="shared" si="59"/>
        <v>1153426.1179739421</v>
      </c>
      <c r="P83" s="70">
        <f t="shared" si="59"/>
        <v>1204038.2194534212</v>
      </c>
      <c r="Q83" s="70">
        <f t="shared" si="59"/>
        <v>1255662.5629624894</v>
      </c>
      <c r="R83" s="70">
        <f t="shared" si="59"/>
        <v>1308319.393341739</v>
      </c>
      <c r="S83" s="70">
        <f t="shared" si="59"/>
        <v>1362029.360328574</v>
      </c>
      <c r="T83" s="70">
        <f t="shared" si="59"/>
        <v>1416813.5266551452</v>
      </c>
      <c r="U83" s="71">
        <f t="shared" si="59"/>
        <v>42812784.451949559</v>
      </c>
    </row>
    <row r="84" spans="2:21" ht="5.0999999999999996" customHeight="1" x14ac:dyDescent="0.25">
      <c r="B84" s="40" t="s">
        <v>4</v>
      </c>
      <c r="C84" s="41" t="s">
        <v>4</v>
      </c>
      <c r="D84" s="41" t="s">
        <v>4</v>
      </c>
      <c r="E84" s="41" t="s">
        <v>4</v>
      </c>
      <c r="F84" s="72" t="str">
        <f t="shared" ref="F84:U84" si="60">IF(F77="","",".")</f>
        <v>.</v>
      </c>
      <c r="G84" s="72" t="str">
        <f t="shared" si="60"/>
        <v>.</v>
      </c>
      <c r="H84" s="72" t="str">
        <f t="shared" si="60"/>
        <v>.</v>
      </c>
      <c r="I84" s="72" t="str">
        <f t="shared" si="60"/>
        <v>.</v>
      </c>
      <c r="J84" s="72" t="str">
        <f t="shared" si="60"/>
        <v>.</v>
      </c>
      <c r="K84" s="72" t="str">
        <f t="shared" si="60"/>
        <v>.</v>
      </c>
      <c r="L84" s="72" t="str">
        <f t="shared" si="60"/>
        <v>.</v>
      </c>
      <c r="M84" s="72" t="str">
        <f t="shared" si="60"/>
        <v>.</v>
      </c>
      <c r="N84" s="72" t="str">
        <f t="shared" si="60"/>
        <v>.</v>
      </c>
      <c r="O84" s="72" t="str">
        <f t="shared" si="60"/>
        <v>.</v>
      </c>
      <c r="P84" s="72" t="str">
        <f t="shared" si="60"/>
        <v>.</v>
      </c>
      <c r="Q84" s="72" t="str">
        <f t="shared" si="60"/>
        <v>.</v>
      </c>
      <c r="R84" s="72" t="str">
        <f t="shared" si="60"/>
        <v>.</v>
      </c>
      <c r="S84" s="72" t="str">
        <f t="shared" si="60"/>
        <v>.</v>
      </c>
      <c r="T84" s="72" t="str">
        <f t="shared" si="60"/>
        <v>.</v>
      </c>
      <c r="U84" s="73" t="str">
        <f t="shared" si="60"/>
        <v>.</v>
      </c>
    </row>
    <row r="85" spans="2:21" x14ac:dyDescent="0.25">
      <c r="B85" s="15" t="s">
        <v>2</v>
      </c>
      <c r="C85" s="16"/>
      <c r="D85" s="16"/>
      <c r="E85" s="16"/>
      <c r="F85" s="70">
        <f t="shared" ref="F85:U85" si="61">IF(F77="","",F81)</f>
        <v>0</v>
      </c>
      <c r="G85" s="70">
        <f t="shared" si="61"/>
        <v>0</v>
      </c>
      <c r="H85" s="70">
        <f t="shared" si="61"/>
        <v>0</v>
      </c>
      <c r="I85" s="70">
        <f t="shared" si="61"/>
        <v>0</v>
      </c>
      <c r="J85" s="70">
        <f t="shared" si="61"/>
        <v>0</v>
      </c>
      <c r="K85" s="70">
        <f t="shared" si="61"/>
        <v>0</v>
      </c>
      <c r="L85" s="70">
        <f t="shared" si="61"/>
        <v>0</v>
      </c>
      <c r="M85" s="70">
        <f t="shared" si="61"/>
        <v>0</v>
      </c>
      <c r="N85" s="70">
        <f t="shared" si="61"/>
        <v>0</v>
      </c>
      <c r="O85" s="70">
        <f t="shared" si="61"/>
        <v>0</v>
      </c>
      <c r="P85" s="70">
        <f t="shared" si="61"/>
        <v>0</v>
      </c>
      <c r="Q85" s="70">
        <f t="shared" si="61"/>
        <v>0</v>
      </c>
      <c r="R85" s="70">
        <f t="shared" si="61"/>
        <v>0</v>
      </c>
      <c r="S85" s="70">
        <f t="shared" si="61"/>
        <v>0</v>
      </c>
      <c r="T85" s="70">
        <f t="shared" si="61"/>
        <v>0</v>
      </c>
      <c r="U85" s="71">
        <f t="shared" si="61"/>
        <v>22747637.089490525</v>
      </c>
    </row>
    <row r="86" spans="2:21" x14ac:dyDescent="0.25">
      <c r="B86" s="15" t="s">
        <v>1</v>
      </c>
      <c r="C86" s="16"/>
      <c r="D86" s="16"/>
      <c r="E86" s="16"/>
      <c r="F86" s="70">
        <f t="shared" ref="F86:U86" si="62">IF(F77="","",F85/VLOOKUP($B75,Promote_Structure,8,FALSE)*VLOOKUP($B75,Promote_Structure,7,FALSE))</f>
        <v>0</v>
      </c>
      <c r="G86" s="70">
        <f t="shared" si="62"/>
        <v>0</v>
      </c>
      <c r="H86" s="70">
        <f t="shared" si="62"/>
        <v>0</v>
      </c>
      <c r="I86" s="70">
        <f t="shared" si="62"/>
        <v>0</v>
      </c>
      <c r="J86" s="70">
        <f t="shared" si="62"/>
        <v>0</v>
      </c>
      <c r="K86" s="70">
        <f t="shared" si="62"/>
        <v>0</v>
      </c>
      <c r="L86" s="70">
        <f t="shared" si="62"/>
        <v>0</v>
      </c>
      <c r="M86" s="70">
        <f t="shared" si="62"/>
        <v>0</v>
      </c>
      <c r="N86" s="70">
        <f t="shared" si="62"/>
        <v>0</v>
      </c>
      <c r="O86" s="70">
        <f t="shared" si="62"/>
        <v>0</v>
      </c>
      <c r="P86" s="70">
        <f t="shared" si="62"/>
        <v>0</v>
      </c>
      <c r="Q86" s="70">
        <f t="shared" si="62"/>
        <v>0</v>
      </c>
      <c r="R86" s="70">
        <f t="shared" si="62"/>
        <v>0</v>
      </c>
      <c r="S86" s="70">
        <f t="shared" si="62"/>
        <v>0</v>
      </c>
      <c r="T86" s="70">
        <f t="shared" si="62"/>
        <v>0</v>
      </c>
      <c r="U86" s="71">
        <f t="shared" si="62"/>
        <v>8846303.3125796448</v>
      </c>
    </row>
    <row r="87" spans="2:21" x14ac:dyDescent="0.25">
      <c r="B87" s="15" t="str">
        <f>"Total Distributions ("&amp;B75&amp;")"</f>
        <v>Total Distributions (Hurdle 3)</v>
      </c>
      <c r="C87" s="16"/>
      <c r="D87" s="16"/>
      <c r="E87" s="16"/>
      <c r="F87" s="70">
        <f t="shared" ref="F87:U87" si="63">IF(F77="","",F85+F86)</f>
        <v>0</v>
      </c>
      <c r="G87" s="70">
        <f t="shared" si="63"/>
        <v>0</v>
      </c>
      <c r="H87" s="70">
        <f t="shared" si="63"/>
        <v>0</v>
      </c>
      <c r="I87" s="70">
        <f t="shared" si="63"/>
        <v>0</v>
      </c>
      <c r="J87" s="70">
        <f t="shared" si="63"/>
        <v>0</v>
      </c>
      <c r="K87" s="70">
        <f t="shared" si="63"/>
        <v>0</v>
      </c>
      <c r="L87" s="70">
        <f t="shared" si="63"/>
        <v>0</v>
      </c>
      <c r="M87" s="70">
        <f t="shared" si="63"/>
        <v>0</v>
      </c>
      <c r="N87" s="70">
        <f t="shared" si="63"/>
        <v>0</v>
      </c>
      <c r="O87" s="70">
        <f t="shared" si="63"/>
        <v>0</v>
      </c>
      <c r="P87" s="70">
        <f t="shared" si="63"/>
        <v>0</v>
      </c>
      <c r="Q87" s="70">
        <f t="shared" si="63"/>
        <v>0</v>
      </c>
      <c r="R87" s="70">
        <f t="shared" si="63"/>
        <v>0</v>
      </c>
      <c r="S87" s="70">
        <f t="shared" si="63"/>
        <v>0</v>
      </c>
      <c r="T87" s="70">
        <f t="shared" si="63"/>
        <v>0</v>
      </c>
      <c r="U87" s="71">
        <f t="shared" si="63"/>
        <v>31593940.402070172</v>
      </c>
    </row>
    <row r="88" spans="2:21" x14ac:dyDescent="0.25">
      <c r="B88" s="15" t="s">
        <v>0</v>
      </c>
      <c r="C88" s="16"/>
      <c r="D88" s="16"/>
      <c r="E88" s="16"/>
      <c r="F88" s="70">
        <f t="shared" ref="F88:U88" si="64">IF(F77="","",MAX(F$35-F57-F72-F87,0))</f>
        <v>0</v>
      </c>
      <c r="G88" s="70">
        <f t="shared" si="64"/>
        <v>0</v>
      </c>
      <c r="H88" s="70">
        <f t="shared" si="64"/>
        <v>0</v>
      </c>
      <c r="I88" s="70">
        <f t="shared" si="64"/>
        <v>0</v>
      </c>
      <c r="J88" s="70">
        <f t="shared" si="64"/>
        <v>0</v>
      </c>
      <c r="K88" s="70">
        <f t="shared" si="64"/>
        <v>0</v>
      </c>
      <c r="L88" s="70">
        <f t="shared" si="64"/>
        <v>0</v>
      </c>
      <c r="M88" s="70">
        <f t="shared" si="64"/>
        <v>0</v>
      </c>
      <c r="N88" s="70">
        <f t="shared" si="64"/>
        <v>0</v>
      </c>
      <c r="O88" s="70">
        <f t="shared" si="64"/>
        <v>0</v>
      </c>
      <c r="P88" s="70">
        <f t="shared" si="64"/>
        <v>0</v>
      </c>
      <c r="Q88" s="70">
        <f t="shared" si="64"/>
        <v>0</v>
      </c>
      <c r="R88" s="70">
        <f t="shared" si="64"/>
        <v>0</v>
      </c>
      <c r="S88" s="70">
        <f t="shared" si="64"/>
        <v>0</v>
      </c>
      <c r="T88" s="70">
        <f t="shared" si="64"/>
        <v>0</v>
      </c>
      <c r="U88" s="71">
        <f t="shared" si="64"/>
        <v>0</v>
      </c>
    </row>
    <row r="89" spans="2:21" ht="5.0999999999999996" customHeight="1" x14ac:dyDescent="0.25">
      <c r="B89" s="15"/>
      <c r="C89" s="16"/>
      <c r="D89" s="16"/>
      <c r="E89" s="16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62"/>
    </row>
    <row r="90" spans="2:21" ht="15.75" x14ac:dyDescent="0.25">
      <c r="B90" s="39" t="s">
        <v>3</v>
      </c>
      <c r="C90" s="16"/>
      <c r="D90" s="16"/>
      <c r="E90" s="16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62"/>
    </row>
    <row r="91" spans="2:21" x14ac:dyDescent="0.25">
      <c r="B91" s="84" t="s">
        <v>45</v>
      </c>
      <c r="C91" s="85">
        <f>C76</f>
        <v>0.16</v>
      </c>
      <c r="D91" s="7"/>
      <c r="E91" s="7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69"/>
    </row>
    <row r="92" spans="2:21" x14ac:dyDescent="0.25">
      <c r="B92" s="15" t="s">
        <v>2</v>
      </c>
      <c r="C92" s="16"/>
      <c r="D92" s="16"/>
      <c r="E92" s="16"/>
      <c r="F92" s="70">
        <f t="shared" ref="F92:U92" si="65">IF(F77="","",F88*$I$16)</f>
        <v>0</v>
      </c>
      <c r="G92" s="70">
        <f t="shared" si="65"/>
        <v>0</v>
      </c>
      <c r="H92" s="70">
        <f t="shared" si="65"/>
        <v>0</v>
      </c>
      <c r="I92" s="70">
        <f t="shared" si="65"/>
        <v>0</v>
      </c>
      <c r="J92" s="70">
        <f t="shared" si="65"/>
        <v>0</v>
      </c>
      <c r="K92" s="70">
        <f t="shared" si="65"/>
        <v>0</v>
      </c>
      <c r="L92" s="70">
        <f t="shared" si="65"/>
        <v>0</v>
      </c>
      <c r="M92" s="70">
        <f t="shared" si="65"/>
        <v>0</v>
      </c>
      <c r="N92" s="70">
        <f t="shared" si="65"/>
        <v>0</v>
      </c>
      <c r="O92" s="70">
        <f t="shared" si="65"/>
        <v>0</v>
      </c>
      <c r="P92" s="70">
        <f t="shared" si="65"/>
        <v>0</v>
      </c>
      <c r="Q92" s="70">
        <f t="shared" si="65"/>
        <v>0</v>
      </c>
      <c r="R92" s="70">
        <f t="shared" si="65"/>
        <v>0</v>
      </c>
      <c r="S92" s="70">
        <f t="shared" si="65"/>
        <v>0</v>
      </c>
      <c r="T92" s="70">
        <f t="shared" si="65"/>
        <v>0</v>
      </c>
      <c r="U92" s="71">
        <f t="shared" si="65"/>
        <v>0</v>
      </c>
    </row>
    <row r="93" spans="2:21" x14ac:dyDescent="0.25">
      <c r="B93" s="15" t="s">
        <v>1</v>
      </c>
      <c r="C93" s="16"/>
      <c r="D93" s="16"/>
      <c r="E93" s="16"/>
      <c r="F93" s="70">
        <f t="shared" ref="F93:U93" si="66">IF(F92="","",F88-F92)</f>
        <v>0</v>
      </c>
      <c r="G93" s="70">
        <f t="shared" si="66"/>
        <v>0</v>
      </c>
      <c r="H93" s="70">
        <f t="shared" si="66"/>
        <v>0</v>
      </c>
      <c r="I93" s="70">
        <f t="shared" si="66"/>
        <v>0</v>
      </c>
      <c r="J93" s="70">
        <f t="shared" si="66"/>
        <v>0</v>
      </c>
      <c r="K93" s="70">
        <f t="shared" si="66"/>
        <v>0</v>
      </c>
      <c r="L93" s="70">
        <f t="shared" si="66"/>
        <v>0</v>
      </c>
      <c r="M93" s="70">
        <f t="shared" si="66"/>
        <v>0</v>
      </c>
      <c r="N93" s="70">
        <f t="shared" si="66"/>
        <v>0</v>
      </c>
      <c r="O93" s="70">
        <f t="shared" si="66"/>
        <v>0</v>
      </c>
      <c r="P93" s="70">
        <f t="shared" si="66"/>
        <v>0</v>
      </c>
      <c r="Q93" s="70">
        <f t="shared" si="66"/>
        <v>0</v>
      </c>
      <c r="R93" s="70">
        <f t="shared" si="66"/>
        <v>0</v>
      </c>
      <c r="S93" s="70">
        <f t="shared" si="66"/>
        <v>0</v>
      </c>
      <c r="T93" s="70">
        <f t="shared" si="66"/>
        <v>0</v>
      </c>
      <c r="U93" s="71">
        <f t="shared" si="66"/>
        <v>0</v>
      </c>
    </row>
    <row r="94" spans="2:21" x14ac:dyDescent="0.25">
      <c r="B94" s="15" t="str">
        <f>"Total Distributions ("&amp;B90&amp;")"</f>
        <v>Total Distributions (Hurdle 4)</v>
      </c>
      <c r="C94" s="16"/>
      <c r="D94" s="16"/>
      <c r="E94" s="16"/>
      <c r="F94" s="70">
        <f t="shared" ref="F94:U94" si="67">IF(F92="","",F92+F93)</f>
        <v>0</v>
      </c>
      <c r="G94" s="70">
        <f t="shared" si="67"/>
        <v>0</v>
      </c>
      <c r="H94" s="70">
        <f t="shared" si="67"/>
        <v>0</v>
      </c>
      <c r="I94" s="70">
        <f t="shared" si="67"/>
        <v>0</v>
      </c>
      <c r="J94" s="70">
        <f t="shared" si="67"/>
        <v>0</v>
      </c>
      <c r="K94" s="70">
        <f t="shared" si="67"/>
        <v>0</v>
      </c>
      <c r="L94" s="70">
        <f t="shared" si="67"/>
        <v>0</v>
      </c>
      <c r="M94" s="70">
        <f t="shared" si="67"/>
        <v>0</v>
      </c>
      <c r="N94" s="70">
        <f t="shared" si="67"/>
        <v>0</v>
      </c>
      <c r="O94" s="70">
        <f t="shared" si="67"/>
        <v>0</v>
      </c>
      <c r="P94" s="70">
        <f t="shared" si="67"/>
        <v>0</v>
      </c>
      <c r="Q94" s="70">
        <f t="shared" si="67"/>
        <v>0</v>
      </c>
      <c r="R94" s="70">
        <f t="shared" si="67"/>
        <v>0</v>
      </c>
      <c r="S94" s="70">
        <f t="shared" si="67"/>
        <v>0</v>
      </c>
      <c r="T94" s="70">
        <f t="shared" si="67"/>
        <v>0</v>
      </c>
      <c r="U94" s="71">
        <f t="shared" si="67"/>
        <v>0</v>
      </c>
    </row>
    <row r="95" spans="2:21" ht="15.75" thickBot="1" x14ac:dyDescent="0.3">
      <c r="B95" s="43" t="s">
        <v>0</v>
      </c>
      <c r="C95" s="44"/>
      <c r="D95" s="44"/>
      <c r="E95" s="44"/>
      <c r="F95" s="74">
        <f t="shared" ref="F95:U95" si="68">IF(F92="","",F88-F94)</f>
        <v>0</v>
      </c>
      <c r="G95" s="74">
        <f t="shared" si="68"/>
        <v>0</v>
      </c>
      <c r="H95" s="74">
        <f t="shared" si="68"/>
        <v>0</v>
      </c>
      <c r="I95" s="74">
        <f t="shared" si="68"/>
        <v>0</v>
      </c>
      <c r="J95" s="74">
        <f t="shared" si="68"/>
        <v>0</v>
      </c>
      <c r="K95" s="74">
        <f t="shared" si="68"/>
        <v>0</v>
      </c>
      <c r="L95" s="74">
        <f t="shared" si="68"/>
        <v>0</v>
      </c>
      <c r="M95" s="74">
        <f t="shared" si="68"/>
        <v>0</v>
      </c>
      <c r="N95" s="74">
        <f t="shared" si="68"/>
        <v>0</v>
      </c>
      <c r="O95" s="74">
        <f t="shared" si="68"/>
        <v>0</v>
      </c>
      <c r="P95" s="74">
        <f t="shared" si="68"/>
        <v>0</v>
      </c>
      <c r="Q95" s="74">
        <f t="shared" si="68"/>
        <v>0</v>
      </c>
      <c r="R95" s="74">
        <f t="shared" si="68"/>
        <v>0</v>
      </c>
      <c r="S95" s="74">
        <f t="shared" si="68"/>
        <v>0</v>
      </c>
      <c r="T95" s="74">
        <f t="shared" si="68"/>
        <v>0</v>
      </c>
      <c r="U95" s="75">
        <f t="shared" si="68"/>
        <v>0</v>
      </c>
    </row>
    <row r="96" spans="2:21" ht="15.75" thickTop="1" x14ac:dyDescent="0.25"/>
  </sheetData>
  <sheetProtection selectLockedCells="1"/>
  <conditionalFormatting sqref="M6">
    <cfRule type="expression" dxfId="14" priority="23">
      <formula>$M$6="OK"</formula>
    </cfRule>
  </conditionalFormatting>
  <conditionalFormatting sqref="D13:D16">
    <cfRule type="expression" dxfId="13" priority="22">
      <formula>$D$4="Equity Multiple"</formula>
    </cfRule>
  </conditionalFormatting>
  <conditionalFormatting sqref="E13:E15">
    <cfRule type="expression" dxfId="12" priority="21">
      <formula>$D$4="Equity Multiple"</formula>
    </cfRule>
  </conditionalFormatting>
  <conditionalFormatting sqref="C13:C16">
    <cfRule type="expression" dxfId="11" priority="17">
      <formula>$D$4&lt;&gt;"Equity Multiple"</formula>
    </cfRule>
  </conditionalFormatting>
  <conditionalFormatting sqref="B47">
    <cfRule type="expression" dxfId="10" priority="16">
      <formula>$C$4="Equity Multiple"</formula>
    </cfRule>
  </conditionalFormatting>
  <conditionalFormatting sqref="E47">
    <cfRule type="expression" dxfId="9" priority="15">
      <formula>$C$4="Equity Multiple"</formula>
    </cfRule>
  </conditionalFormatting>
  <conditionalFormatting sqref="B68">
    <cfRule type="expression" dxfId="8" priority="9">
      <formula>$C$4="Equity Multiple"</formula>
    </cfRule>
  </conditionalFormatting>
  <conditionalFormatting sqref="B83">
    <cfRule type="expression" dxfId="7" priority="8">
      <formula>$C$4="Equity Multiple"</formula>
    </cfRule>
  </conditionalFormatting>
  <conditionalFormatting sqref="C40">
    <cfRule type="expression" dxfId="6" priority="7">
      <formula>$C$4="Equity Multiple"</formula>
    </cfRule>
  </conditionalFormatting>
  <conditionalFormatting sqref="C61">
    <cfRule type="expression" dxfId="5" priority="6">
      <formula>$C$4="Equity Multiple"</formula>
    </cfRule>
  </conditionalFormatting>
  <conditionalFormatting sqref="C76">
    <cfRule type="expression" dxfId="4" priority="5">
      <formula>$C$4="Equity Multiple"</formula>
    </cfRule>
  </conditionalFormatting>
  <conditionalFormatting sqref="C91">
    <cfRule type="expression" dxfId="3" priority="4">
      <formula>$C$4="Equity Multiple"</formula>
    </cfRule>
  </conditionalFormatting>
  <conditionalFormatting sqref="F51 F42">
    <cfRule type="expression" dxfId="2" priority="3">
      <formula>F42="Error"</formula>
    </cfRule>
  </conditionalFormatting>
  <conditionalFormatting sqref="E68">
    <cfRule type="expression" dxfId="1" priority="2">
      <formula>$C$4="Equity Multiple"</formula>
    </cfRule>
  </conditionalFormatting>
  <conditionalFormatting sqref="E83">
    <cfRule type="expression" dxfId="0" priority="1">
      <formula>$C$4="Equity Multiple"</formula>
    </cfRule>
  </conditionalFormatting>
  <dataValidations count="2">
    <dataValidation type="list" allowBlank="1" showInputMessage="1" showErrorMessage="1" sqref="D4">
      <formula1>"IRR, Equity Multiple"</formula1>
    </dataValidation>
    <dataValidation type="list" allowBlank="1" showInputMessage="1" showErrorMessage="1" sqref="D5">
      <formula1>"Pari Passu, 1st to Sponsor"</formula1>
    </dataValidation>
  </dataValidations>
  <pageMargins left="0.7" right="0.7" top="0.75" bottom="0.75" header="0.3" footer="0.3"/>
  <pageSetup scale="35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Investor Returns</vt:lpstr>
      <vt:lpstr>Equity_Share_LP</vt:lpstr>
      <vt:lpstr>Equity_Share_Sponsor</vt:lpstr>
      <vt:lpstr>Preferred_Return</vt:lpstr>
      <vt:lpstr>Promote_Structure</vt:lpstr>
      <vt:lpstr>Total_Equity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burton;Spencer Burton</dc:creator>
  <cp:lastModifiedBy>burton</cp:lastModifiedBy>
  <dcterms:created xsi:type="dcterms:W3CDTF">2015-07-19T18:58:00Z</dcterms:created>
  <dcterms:modified xsi:type="dcterms:W3CDTF">2016-01-23T15:56:13Z</dcterms:modified>
</cp:coreProperties>
</file>