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and Group FTP\Dropbox\CRE Financial Models\General Acquisition Model\"/>
    </mc:Choice>
  </mc:AlternateContent>
  <bookViews>
    <workbookView xWindow="0" yWindow="0" windowWidth="28800" windowHeight="13020" tabRatio="874"/>
  </bookViews>
  <sheets>
    <sheet name="Version" sheetId="13" r:id="rId1"/>
    <sheet name="Property Summary" sheetId="9" r:id="rId2"/>
    <sheet name="Property Assumptions" sheetId="1" state="hidden" r:id="rId3"/>
    <sheet name="Investor Returns" sheetId="10" r:id="rId4"/>
    <sheet name="OS DCF" sheetId="12" r:id="rId5"/>
    <sheet name="Property Returns" sheetId="3" r:id="rId6"/>
    <sheet name="Debt" sheetId="6" r:id="rId7"/>
    <sheet name="Raw Data" sheetId="11" state="hidden" r:id="rId8"/>
  </sheets>
  <externalReferences>
    <externalReference r:id="rId9"/>
  </externalReferences>
  <definedNames>
    <definedName name="Analysis_Period">'Property Summary'!$D$8</definedName>
    <definedName name="Analysis_Start">'Property Summary'!$D$7</definedName>
    <definedName name="Basis">'Property Summary'!$H$6</definedName>
    <definedName name="Cap_Year">'Property Summary'!$D$9</definedName>
    <definedName name="CashFlow_Table" localSheetId="6">Debt!$C$4:$R$7</definedName>
    <definedName name="CashFlow_Table">#REF!</definedName>
    <definedName name="CF_Table2">#REF!</definedName>
    <definedName name="Debt">'Property Summary'!$H$17</definedName>
    <definedName name="Debt_Table2">Debt!$B$4:$R$7</definedName>
    <definedName name="Discount_Rate">'Property Summary'!$D$12</definedName>
    <definedName name="Equity">'Property Summary'!$H$19</definedName>
    <definedName name="Equity_Share_LP">'Investor Returns'!$C$6</definedName>
    <definedName name="Equity_Share_Sponsor">'Investor Returns'!$C$5</definedName>
    <definedName name="Exit_Cap_Yr_1">'Property Summary'!$D$11</definedName>
    <definedName name="Name">'Property Summary'!$D$3</definedName>
    <definedName name="P_List_Table">'Property Assumptions'!$B$4:$W$5</definedName>
    <definedName name="P_List_Table_2">'Property Assumptions'!$C$5:$W$5</definedName>
    <definedName name="Preferred_Return">'Investor Returns'!$E$9</definedName>
    <definedName name="Promote_On_Off">'[1]Rollup - Investor Level Returns'!$F$344:$F$345</definedName>
    <definedName name="Promote_Structure">'Investor Returns'!$B$8:$I$12</definedName>
    <definedName name="Property">#REF!</definedName>
    <definedName name="Property_List">OFFSET('Property Assumptions'!$C$5,0,0,COUNTA('Property Assumptions'!$C:$C)-1,1)</definedName>
    <definedName name="Property_Number_List">'Property Assumptions'!$B$5:$B$5</definedName>
    <definedName name="Property_SF">'Property Summary'!$H$3</definedName>
    <definedName name="Purchase_Price">'Property Summary'!$D$17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6" l="1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R20" i="3" l="1"/>
  <c r="Q20" i="3"/>
  <c r="P20" i="3"/>
  <c r="O20" i="3"/>
  <c r="N20" i="3"/>
  <c r="N15" i="3"/>
  <c r="R16" i="3"/>
  <c r="Q16" i="3"/>
  <c r="P16" i="3"/>
  <c r="O16" i="3"/>
  <c r="N16" i="3"/>
  <c r="M15" i="3"/>
  <c r="L15" i="3"/>
  <c r="K15" i="3"/>
  <c r="J15" i="3"/>
  <c r="I15" i="3"/>
  <c r="H15" i="3"/>
  <c r="G15" i="3"/>
  <c r="F15" i="3"/>
  <c r="E15" i="3"/>
  <c r="R15" i="3"/>
  <c r="Q15" i="3"/>
  <c r="P15" i="3"/>
  <c r="O15" i="3"/>
  <c r="N11" i="3"/>
  <c r="R11" i="3"/>
  <c r="Q11" i="3"/>
  <c r="P11" i="3"/>
  <c r="O11" i="3"/>
  <c r="E11" i="3"/>
  <c r="F11" i="3" s="1"/>
  <c r="G11" i="3" s="1"/>
  <c r="H11" i="3" s="1"/>
  <c r="I11" i="3" s="1"/>
  <c r="J11" i="3" s="1"/>
  <c r="K11" i="3" s="1"/>
  <c r="L11" i="3" s="1"/>
  <c r="M11" i="3" s="1"/>
  <c r="D11" i="3"/>
  <c r="B32" i="12"/>
  <c r="B34" i="12"/>
  <c r="B26" i="12"/>
  <c r="B14" i="12"/>
  <c r="B9" i="3" l="1"/>
  <c r="B8" i="3"/>
  <c r="B7" i="3"/>
  <c r="B6" i="3"/>
  <c r="B5" i="3"/>
  <c r="E32" i="12"/>
  <c r="E9" i="12"/>
  <c r="E12" i="12" s="1"/>
  <c r="E14" i="12" s="1"/>
  <c r="D5" i="3" s="1"/>
  <c r="D8" i="3" l="1"/>
  <c r="E21" i="12"/>
  <c r="E24" i="12" s="1"/>
  <c r="E26" i="12" l="1"/>
  <c r="D7" i="3" s="1"/>
  <c r="D6" i="3"/>
  <c r="E34" i="12" l="1"/>
  <c r="D9" i="3" s="1"/>
  <c r="E5" i="12" l="1"/>
  <c r="L5" i="1"/>
  <c r="P5" i="1"/>
  <c r="Q5" i="1"/>
  <c r="R5" i="1"/>
  <c r="U5" i="1"/>
  <c r="E5" i="1"/>
  <c r="D5" i="1"/>
  <c r="C5" i="1"/>
  <c r="C5" i="6" s="1"/>
  <c r="V26" i="10" l="1"/>
  <c r="H14" i="10"/>
  <c r="I14" i="10" s="1"/>
  <c r="J14" i="10" s="1"/>
  <c r="K14" i="10" s="1"/>
  <c r="L14" i="10" s="1"/>
  <c r="M14" i="10" s="1"/>
  <c r="N14" i="10" s="1"/>
  <c r="O14" i="10" s="1"/>
  <c r="P14" i="10" s="1"/>
  <c r="Q14" i="10" s="1"/>
  <c r="B82" i="10"/>
  <c r="B75" i="10"/>
  <c r="B69" i="10"/>
  <c r="B60" i="10"/>
  <c r="B45" i="10"/>
  <c r="B54" i="10"/>
  <c r="F50" i="10"/>
  <c r="E11" i="10"/>
  <c r="C64" i="10" s="1"/>
  <c r="B71" i="10" s="1"/>
  <c r="G12" i="10"/>
  <c r="F36" i="10"/>
  <c r="F42" i="10" s="1"/>
  <c r="H29" i="10"/>
  <c r="I29" i="10" s="1"/>
  <c r="J29" i="10" s="1"/>
  <c r="K29" i="10" s="1"/>
  <c r="L29" i="10" s="1"/>
  <c r="M29" i="10" s="1"/>
  <c r="N29" i="10" s="1"/>
  <c r="O29" i="10" s="1"/>
  <c r="P29" i="10" s="1"/>
  <c r="Q29" i="10" s="1"/>
  <c r="R29" i="10" s="1"/>
  <c r="S29" i="10" s="1"/>
  <c r="T29" i="10" s="1"/>
  <c r="U29" i="10" s="1"/>
  <c r="V29" i="10" s="1"/>
  <c r="F30" i="10"/>
  <c r="B31" i="10"/>
  <c r="D4" i="3"/>
  <c r="E3" i="3"/>
  <c r="F5" i="12" s="1"/>
  <c r="G30" i="10"/>
  <c r="G10" i="10"/>
  <c r="G11" i="10"/>
  <c r="G9" i="10"/>
  <c r="E10" i="10"/>
  <c r="C49" i="10" s="1"/>
  <c r="E9" i="10"/>
  <c r="C6" i="10"/>
  <c r="F30" i="12" l="1"/>
  <c r="F28" i="12"/>
  <c r="F20" i="12"/>
  <c r="F16" i="12"/>
  <c r="F11" i="12"/>
  <c r="F8" i="12"/>
  <c r="F6" i="12"/>
  <c r="F22" i="12"/>
  <c r="F19" i="12"/>
  <c r="F31" i="12"/>
  <c r="F29" i="12"/>
  <c r="F23" i="12"/>
  <c r="G23" i="12" s="1"/>
  <c r="F18" i="12"/>
  <c r="F7" i="12"/>
  <c r="F17" i="12"/>
  <c r="F32" i="12"/>
  <c r="E8" i="3" s="1"/>
  <c r="E4" i="3"/>
  <c r="R14" i="10"/>
  <c r="Q19" i="10"/>
  <c r="Q24" i="10"/>
  <c r="Q23" i="10"/>
  <c r="Q16" i="10"/>
  <c r="Q26" i="10"/>
  <c r="I12" i="10"/>
  <c r="H12" i="10" s="1"/>
  <c r="B56" i="10"/>
  <c r="F51" i="10"/>
  <c r="R50" i="10"/>
  <c r="S50" i="10"/>
  <c r="T50" i="10"/>
  <c r="Q50" i="10"/>
  <c r="U50" i="10"/>
  <c r="F57" i="10"/>
  <c r="I11" i="10"/>
  <c r="H11" i="10" s="1"/>
  <c r="I9" i="10"/>
  <c r="H9" i="10" s="1"/>
  <c r="I10" i="10"/>
  <c r="R36" i="10"/>
  <c r="R38" i="10" s="1"/>
  <c r="R17" i="10" s="1"/>
  <c r="S36" i="10"/>
  <c r="Q36" i="10"/>
  <c r="U36" i="10"/>
  <c r="T36" i="10"/>
  <c r="T38" i="10" s="1"/>
  <c r="T17" i="10" s="1"/>
  <c r="C35" i="10"/>
  <c r="B41" i="10" s="1"/>
  <c r="F37" i="10"/>
  <c r="F3" i="3"/>
  <c r="G5" i="12" s="1"/>
  <c r="I30" i="10"/>
  <c r="H30" i="10"/>
  <c r="G16" i="12" l="1"/>
  <c r="G6" i="12"/>
  <c r="G17" i="12"/>
  <c r="G29" i="12"/>
  <c r="F9" i="12"/>
  <c r="F12" i="12" s="1"/>
  <c r="F14" i="12" s="1"/>
  <c r="G20" i="12"/>
  <c r="H20" i="12" s="1"/>
  <c r="G22" i="12"/>
  <c r="G7" i="12"/>
  <c r="G31" i="12"/>
  <c r="H31" i="12" s="1"/>
  <c r="G8" i="12"/>
  <c r="G28" i="12"/>
  <c r="G18" i="12"/>
  <c r="G19" i="12"/>
  <c r="H19" i="12" s="1"/>
  <c r="G11" i="12"/>
  <c r="G30" i="12"/>
  <c r="S14" i="10"/>
  <c r="R24" i="10"/>
  <c r="R23" i="10"/>
  <c r="R16" i="10"/>
  <c r="R26" i="10"/>
  <c r="R19" i="10"/>
  <c r="U61" i="10"/>
  <c r="U58" i="10"/>
  <c r="R61" i="10"/>
  <c r="R58" i="10"/>
  <c r="Q61" i="10"/>
  <c r="Q58" i="10"/>
  <c r="T61" i="10"/>
  <c r="T58" i="10"/>
  <c r="S61" i="10"/>
  <c r="S58" i="10"/>
  <c r="U52" i="10"/>
  <c r="R52" i="10"/>
  <c r="Q52" i="10"/>
  <c r="T52" i="10"/>
  <c r="S52" i="10"/>
  <c r="Q37" i="10"/>
  <c r="Q38" i="10"/>
  <c r="Q17" i="10" s="1"/>
  <c r="S41" i="10"/>
  <c r="S38" i="10"/>
  <c r="S17" i="10" s="1"/>
  <c r="U37" i="10"/>
  <c r="U38" i="10"/>
  <c r="U17" i="10" s="1"/>
  <c r="T59" i="10"/>
  <c r="T60" i="10"/>
  <c r="S60" i="10"/>
  <c r="S59" i="10"/>
  <c r="Q59" i="10"/>
  <c r="Q60" i="10"/>
  <c r="U59" i="10"/>
  <c r="U60" i="10"/>
  <c r="R60" i="10"/>
  <c r="R59" i="10"/>
  <c r="H10" i="10"/>
  <c r="S56" i="10"/>
  <c r="S54" i="10"/>
  <c r="U56" i="10"/>
  <c r="U54" i="10"/>
  <c r="R56" i="10"/>
  <c r="R54" i="10"/>
  <c r="Q56" i="10"/>
  <c r="Q54" i="10"/>
  <c r="T56" i="10"/>
  <c r="T54" i="10"/>
  <c r="T57" i="10"/>
  <c r="U55" i="10"/>
  <c r="Q55" i="10"/>
  <c r="T55" i="10"/>
  <c r="R55" i="10"/>
  <c r="S55" i="10"/>
  <c r="T51" i="10"/>
  <c r="Q57" i="10"/>
  <c r="Q51" i="10"/>
  <c r="S51" i="10"/>
  <c r="U51" i="10"/>
  <c r="R51" i="10"/>
  <c r="R57" i="10"/>
  <c r="S57" i="10"/>
  <c r="U57" i="10"/>
  <c r="S40" i="10"/>
  <c r="S37" i="10"/>
  <c r="T42" i="10"/>
  <c r="T46" i="10"/>
  <c r="R42" i="10"/>
  <c r="R46" i="10"/>
  <c r="U42" i="10"/>
  <c r="U46" i="10"/>
  <c r="Q42" i="10"/>
  <c r="Q46" i="10"/>
  <c r="S42" i="10"/>
  <c r="S46" i="10"/>
  <c r="T45" i="10"/>
  <c r="T44" i="10"/>
  <c r="T65" i="10" s="1"/>
  <c r="T80" i="10" s="1"/>
  <c r="U45" i="10"/>
  <c r="U44" i="10"/>
  <c r="U65" i="10" s="1"/>
  <c r="U80" i="10" s="1"/>
  <c r="Q45" i="10"/>
  <c r="Q44" i="10"/>
  <c r="Q65" i="10" s="1"/>
  <c r="Q80" i="10" s="1"/>
  <c r="U39" i="10"/>
  <c r="U43" i="10" s="1"/>
  <c r="U53" i="10" s="1"/>
  <c r="S39" i="10"/>
  <c r="S43" i="10" s="1"/>
  <c r="S53" i="10" s="1"/>
  <c r="S45" i="10"/>
  <c r="S44" i="10"/>
  <c r="S65" i="10" s="1"/>
  <c r="S80" i="10" s="1"/>
  <c r="R40" i="10"/>
  <c r="R45" i="10"/>
  <c r="R44" i="10"/>
  <c r="R65" i="10" s="1"/>
  <c r="R80" i="10" s="1"/>
  <c r="T40" i="10"/>
  <c r="T37" i="10"/>
  <c r="T41" i="10"/>
  <c r="U40" i="10"/>
  <c r="U41" i="10"/>
  <c r="R37" i="10"/>
  <c r="T39" i="10"/>
  <c r="T43" i="10" s="1"/>
  <c r="T53" i="10" s="1"/>
  <c r="R39" i="10"/>
  <c r="R43" i="10" s="1"/>
  <c r="R53" i="10" s="1"/>
  <c r="Q40" i="10"/>
  <c r="Q41" i="10"/>
  <c r="Q39" i="10"/>
  <c r="Q43" i="10" s="1"/>
  <c r="Q53" i="10" s="1"/>
  <c r="R41" i="10"/>
  <c r="G3" i="3"/>
  <c r="H5" i="12" s="1"/>
  <c r="F4" i="3"/>
  <c r="J30" i="10"/>
  <c r="H16" i="12" l="1"/>
  <c r="H18" i="12"/>
  <c r="H7" i="12"/>
  <c r="E5" i="3"/>
  <c r="F21" i="12"/>
  <c r="F24" i="12" s="1"/>
  <c r="H6" i="12"/>
  <c r="G32" i="12"/>
  <c r="H30" i="12"/>
  <c r="H28" i="12"/>
  <c r="H22" i="12"/>
  <c r="H29" i="12"/>
  <c r="I29" i="12" s="1"/>
  <c r="H11" i="12"/>
  <c r="H8" i="12"/>
  <c r="H9" i="12" s="1"/>
  <c r="H12" i="12" s="1"/>
  <c r="H23" i="12"/>
  <c r="H17" i="12"/>
  <c r="I17" i="12" s="1"/>
  <c r="G9" i="12"/>
  <c r="G12" i="12" s="1"/>
  <c r="G14" i="12" s="1"/>
  <c r="T14" i="10"/>
  <c r="S23" i="10"/>
  <c r="S16" i="10"/>
  <c r="S26" i="10"/>
  <c r="S19" i="10"/>
  <c r="S24" i="10"/>
  <c r="T83" i="10"/>
  <c r="T82" i="10"/>
  <c r="T81" i="10"/>
  <c r="S83" i="10"/>
  <c r="S82" i="10"/>
  <c r="S81" i="10"/>
  <c r="R83" i="10"/>
  <c r="R82" i="10"/>
  <c r="R81" i="10"/>
  <c r="Q83" i="10"/>
  <c r="Q82" i="10"/>
  <c r="Q81" i="10"/>
  <c r="U83" i="10"/>
  <c r="U82" i="10"/>
  <c r="U81" i="10"/>
  <c r="U76" i="10"/>
  <c r="U68" i="10"/>
  <c r="U69" i="10"/>
  <c r="U73" i="10"/>
  <c r="U70" i="10"/>
  <c r="U67" i="10"/>
  <c r="U66" i="10"/>
  <c r="U72" i="10"/>
  <c r="U74" i="10"/>
  <c r="U71" i="10"/>
  <c r="U75" i="10"/>
  <c r="R74" i="10"/>
  <c r="R76" i="10"/>
  <c r="R68" i="10"/>
  <c r="R71" i="10"/>
  <c r="R72" i="10"/>
  <c r="R69" i="10"/>
  <c r="R73" i="10"/>
  <c r="R70" i="10"/>
  <c r="R66" i="10"/>
  <c r="R75" i="10"/>
  <c r="R67" i="10"/>
  <c r="S73" i="10"/>
  <c r="S76" i="10"/>
  <c r="S72" i="10"/>
  <c r="S68" i="10"/>
  <c r="S67" i="10"/>
  <c r="S70" i="10"/>
  <c r="S74" i="10"/>
  <c r="S75" i="10"/>
  <c r="S71" i="10"/>
  <c r="S66" i="10"/>
  <c r="S69" i="10"/>
  <c r="Q76" i="10"/>
  <c r="Q68" i="10"/>
  <c r="Q66" i="10"/>
  <c r="Q70" i="10"/>
  <c r="Q69" i="10"/>
  <c r="Q67" i="10"/>
  <c r="Q71" i="10"/>
  <c r="Q73" i="10"/>
  <c r="Q75" i="10"/>
  <c r="Q72" i="10"/>
  <c r="Q74" i="10"/>
  <c r="T70" i="10"/>
  <c r="T76" i="10"/>
  <c r="T67" i="10"/>
  <c r="T73" i="10"/>
  <c r="T69" i="10"/>
  <c r="T68" i="10"/>
  <c r="T74" i="10"/>
  <c r="T75" i="10"/>
  <c r="T66" i="10"/>
  <c r="T71" i="10"/>
  <c r="T72" i="10"/>
  <c r="H3" i="3"/>
  <c r="I5" i="12" s="1"/>
  <c r="I19" i="12" s="1"/>
  <c r="G4" i="3"/>
  <c r="K30" i="10"/>
  <c r="F8" i="3" l="1"/>
  <c r="I23" i="12"/>
  <c r="I22" i="12"/>
  <c r="I31" i="12"/>
  <c r="E6" i="3"/>
  <c r="F26" i="12"/>
  <c r="I8" i="12"/>
  <c r="I28" i="12"/>
  <c r="I7" i="12"/>
  <c r="J7" i="12" s="1"/>
  <c r="H32" i="12"/>
  <c r="I16" i="12"/>
  <c r="F5" i="3"/>
  <c r="G21" i="12"/>
  <c r="G24" i="12" s="1"/>
  <c r="I11" i="12"/>
  <c r="I30" i="12"/>
  <c r="J30" i="12" s="1"/>
  <c r="I6" i="12"/>
  <c r="I18" i="12"/>
  <c r="H14" i="12"/>
  <c r="I20" i="12"/>
  <c r="J20" i="12" s="1"/>
  <c r="U14" i="10"/>
  <c r="T26" i="10"/>
  <c r="T19" i="10"/>
  <c r="T24" i="10"/>
  <c r="T23" i="10"/>
  <c r="T16" i="10"/>
  <c r="I3" i="3"/>
  <c r="J5" i="12" s="1"/>
  <c r="H4" i="3"/>
  <c r="L30" i="10"/>
  <c r="J16" i="12" l="1"/>
  <c r="G5" i="3"/>
  <c r="H21" i="12"/>
  <c r="H24" i="12" s="1"/>
  <c r="J11" i="12"/>
  <c r="K11" i="12" s="1"/>
  <c r="I32" i="12"/>
  <c r="J28" i="12"/>
  <c r="J31" i="12"/>
  <c r="K30" i="12"/>
  <c r="I9" i="12"/>
  <c r="I12" i="12" s="1"/>
  <c r="I14" i="12" s="1"/>
  <c r="J18" i="12"/>
  <c r="F6" i="3"/>
  <c r="G26" i="12"/>
  <c r="J29" i="12"/>
  <c r="J8" i="12"/>
  <c r="J9" i="12" s="1"/>
  <c r="J12" i="12" s="1"/>
  <c r="J14" i="12" s="1"/>
  <c r="J22" i="12"/>
  <c r="J17" i="12"/>
  <c r="K17" i="12" s="1"/>
  <c r="J6" i="12"/>
  <c r="G8" i="3"/>
  <c r="E7" i="3"/>
  <c r="F34" i="12"/>
  <c r="E9" i="3" s="1"/>
  <c r="J23" i="12"/>
  <c r="J19" i="12"/>
  <c r="V14" i="10"/>
  <c r="U19" i="10"/>
  <c r="U24" i="10"/>
  <c r="U23" i="10"/>
  <c r="U16" i="10"/>
  <c r="U26" i="10"/>
  <c r="J3" i="3"/>
  <c r="K5" i="12" s="1"/>
  <c r="I4" i="3"/>
  <c r="M30" i="10"/>
  <c r="B69" i="3"/>
  <c r="J32" i="12" l="1"/>
  <c r="I8" i="3"/>
  <c r="I5" i="3"/>
  <c r="J21" i="12"/>
  <c r="J24" i="12" s="1"/>
  <c r="K19" i="12"/>
  <c r="K22" i="12"/>
  <c r="K31" i="12"/>
  <c r="G6" i="3"/>
  <c r="H26" i="12"/>
  <c r="K16" i="12"/>
  <c r="K23" i="12"/>
  <c r="K8" i="12"/>
  <c r="K18" i="12"/>
  <c r="L18" i="12" s="1"/>
  <c r="K28" i="12"/>
  <c r="K32" i="12" s="1"/>
  <c r="J8" i="3" s="1"/>
  <c r="K7" i="12"/>
  <c r="F7" i="3"/>
  <c r="G34" i="12"/>
  <c r="F9" i="3" s="1"/>
  <c r="K6" i="12"/>
  <c r="K29" i="12"/>
  <c r="H5" i="3"/>
  <c r="I21" i="12"/>
  <c r="I24" i="12" s="1"/>
  <c r="H8" i="3"/>
  <c r="K20" i="12"/>
  <c r="L20" i="12" s="1"/>
  <c r="V16" i="10"/>
  <c r="V19" i="10"/>
  <c r="K3" i="3"/>
  <c r="L5" i="12" s="1"/>
  <c r="J4" i="3"/>
  <c r="N30" i="10"/>
  <c r="B70" i="3"/>
  <c r="B49" i="3"/>
  <c r="B50" i="3" s="1"/>
  <c r="B51" i="3" s="1"/>
  <c r="E3" i="6"/>
  <c r="D4" i="6"/>
  <c r="L16" i="12" l="1"/>
  <c r="L29" i="12"/>
  <c r="L8" i="12"/>
  <c r="L30" i="12"/>
  <c r="L31" i="12"/>
  <c r="I6" i="3"/>
  <c r="J26" i="12"/>
  <c r="L6" i="12"/>
  <c r="L9" i="12" s="1"/>
  <c r="L7" i="12"/>
  <c r="L23" i="12"/>
  <c r="L17" i="12"/>
  <c r="L22" i="12"/>
  <c r="H6" i="3"/>
  <c r="I26" i="12"/>
  <c r="L11" i="12"/>
  <c r="L28" i="12"/>
  <c r="K9" i="12"/>
  <c r="K12" i="12" s="1"/>
  <c r="K14" i="12" s="1"/>
  <c r="G7" i="3"/>
  <c r="H34" i="12"/>
  <c r="G9" i="3" s="1"/>
  <c r="L19" i="12"/>
  <c r="F3" i="6"/>
  <c r="L3" i="3"/>
  <c r="M5" i="12" s="1"/>
  <c r="M18" i="12" s="1"/>
  <c r="K4" i="3"/>
  <c r="O30" i="10"/>
  <c r="B52" i="3"/>
  <c r="B71" i="3"/>
  <c r="E4" i="6"/>
  <c r="R25" i="3"/>
  <c r="Q25" i="3"/>
  <c r="P25" i="3"/>
  <c r="O25" i="3"/>
  <c r="L12" i="12" l="1"/>
  <c r="L14" i="12"/>
  <c r="M17" i="12"/>
  <c r="N17" i="12" s="1"/>
  <c r="J5" i="3"/>
  <c r="K21" i="12"/>
  <c r="K24" i="12" s="1"/>
  <c r="H7" i="3"/>
  <c r="I34" i="12"/>
  <c r="H9" i="3" s="1"/>
  <c r="M23" i="12"/>
  <c r="M30" i="12"/>
  <c r="M11" i="12"/>
  <c r="M31" i="12"/>
  <c r="N31" i="12" s="1"/>
  <c r="M19" i="12"/>
  <c r="M7" i="12"/>
  <c r="M8" i="12"/>
  <c r="M16" i="12"/>
  <c r="I7" i="3"/>
  <c r="J34" i="12"/>
  <c r="I9" i="3" s="1"/>
  <c r="M28" i="12"/>
  <c r="N28" i="12" s="1"/>
  <c r="M22" i="12"/>
  <c r="M6" i="12"/>
  <c r="M20" i="12"/>
  <c r="M29" i="12"/>
  <c r="N29" i="12" s="1"/>
  <c r="L32" i="12"/>
  <c r="G3" i="6"/>
  <c r="M3" i="3"/>
  <c r="N5" i="12" s="1"/>
  <c r="L4" i="3"/>
  <c r="P30" i="10"/>
  <c r="B53" i="3"/>
  <c r="B72" i="3"/>
  <c r="F4" i="6"/>
  <c r="N16" i="12" l="1"/>
  <c r="N20" i="12"/>
  <c r="N8" i="12"/>
  <c r="N11" i="12"/>
  <c r="K5" i="3"/>
  <c r="L21" i="12"/>
  <c r="L24" i="12" s="1"/>
  <c r="N6" i="12"/>
  <c r="N7" i="12"/>
  <c r="O7" i="12" s="1"/>
  <c r="N30" i="12"/>
  <c r="N32" i="12" s="1"/>
  <c r="J6" i="3"/>
  <c r="K26" i="12"/>
  <c r="O28" i="12"/>
  <c r="M32" i="12"/>
  <c r="K8" i="3"/>
  <c r="N22" i="12"/>
  <c r="O22" i="12" s="1"/>
  <c r="M9" i="12"/>
  <c r="M12" i="12" s="1"/>
  <c r="M14" i="12" s="1"/>
  <c r="N19" i="12"/>
  <c r="N23" i="12"/>
  <c r="N18" i="12"/>
  <c r="O18" i="12" s="1"/>
  <c r="H3" i="6"/>
  <c r="M4" i="3"/>
  <c r="N3" i="3"/>
  <c r="O5" i="12" s="1"/>
  <c r="Q30" i="10"/>
  <c r="B54" i="3"/>
  <c r="B73" i="3"/>
  <c r="G4" i="6"/>
  <c r="M8" i="3" l="1"/>
  <c r="O16" i="12"/>
  <c r="O23" i="12"/>
  <c r="J7" i="3"/>
  <c r="K34" i="12"/>
  <c r="J9" i="3" s="1"/>
  <c r="O6" i="12"/>
  <c r="N9" i="12"/>
  <c r="K6" i="3"/>
  <c r="L26" i="12"/>
  <c r="O20" i="12"/>
  <c r="O19" i="12"/>
  <c r="O17" i="12"/>
  <c r="O11" i="12"/>
  <c r="L5" i="3"/>
  <c r="M21" i="12"/>
  <c r="M24" i="12" s="1"/>
  <c r="L8" i="3"/>
  <c r="O30" i="12"/>
  <c r="O29" i="12"/>
  <c r="O8" i="12"/>
  <c r="O31" i="12"/>
  <c r="I3" i="6"/>
  <c r="O3" i="3"/>
  <c r="P5" i="12" s="1"/>
  <c r="N4" i="3"/>
  <c r="R30" i="10"/>
  <c r="B55" i="3"/>
  <c r="B74" i="3"/>
  <c r="H4" i="6"/>
  <c r="N12" i="12" l="1"/>
  <c r="N14" i="12" s="1"/>
  <c r="B9" i="12"/>
  <c r="O9" i="12"/>
  <c r="O12" i="12" s="1"/>
  <c r="O14" i="12" s="1"/>
  <c r="N5" i="3" s="1"/>
  <c r="O32" i="12"/>
  <c r="N8" i="3"/>
  <c r="K7" i="3"/>
  <c r="L34" i="12"/>
  <c r="K9" i="3" s="1"/>
  <c r="P32" i="12"/>
  <c r="O8" i="3" s="1"/>
  <c r="P21" i="12"/>
  <c r="P17" i="12"/>
  <c r="P18" i="12"/>
  <c r="P8" i="12"/>
  <c r="P6" i="12"/>
  <c r="P34" i="12"/>
  <c r="O9" i="3" s="1"/>
  <c r="P31" i="12"/>
  <c r="P29" i="12"/>
  <c r="P26" i="12"/>
  <c r="O7" i="3" s="1"/>
  <c r="P20" i="12"/>
  <c r="P16" i="12"/>
  <c r="P14" i="12"/>
  <c r="O5" i="3" s="1"/>
  <c r="P9" i="12"/>
  <c r="P7" i="12"/>
  <c r="P22" i="12"/>
  <c r="P12" i="12"/>
  <c r="P23" i="12"/>
  <c r="P19" i="12"/>
  <c r="P11" i="12"/>
  <c r="P24" i="12"/>
  <c r="O6" i="3" s="1"/>
  <c r="P30" i="12"/>
  <c r="P28" i="12"/>
  <c r="L6" i="3"/>
  <c r="M26" i="12"/>
  <c r="M5" i="3"/>
  <c r="N21" i="12"/>
  <c r="N24" i="12" s="1"/>
  <c r="B24" i="12" s="1"/>
  <c r="J3" i="6"/>
  <c r="P3" i="3"/>
  <c r="Q5" i="12" s="1"/>
  <c r="O4" i="3"/>
  <c r="S30" i="10"/>
  <c r="B56" i="3"/>
  <c r="B75" i="3"/>
  <c r="I4" i="6"/>
  <c r="O21" i="12" l="1"/>
  <c r="O24" i="12" s="1"/>
  <c r="N6" i="3" s="1"/>
  <c r="L7" i="3"/>
  <c r="M34" i="12"/>
  <c r="L9" i="3" s="1"/>
  <c r="M6" i="3"/>
  <c r="N26" i="12"/>
  <c r="O26" i="12"/>
  <c r="Q34" i="12"/>
  <c r="P9" i="3" s="1"/>
  <c r="Q31" i="12"/>
  <c r="Q29" i="12"/>
  <c r="Q26" i="12"/>
  <c r="P7" i="3" s="1"/>
  <c r="Q20" i="12"/>
  <c r="Q16" i="12"/>
  <c r="Q14" i="12"/>
  <c r="P5" i="3" s="1"/>
  <c r="Q9" i="12"/>
  <c r="Q7" i="12"/>
  <c r="Q21" i="12"/>
  <c r="Q23" i="12"/>
  <c r="Q19" i="12"/>
  <c r="Q11" i="12"/>
  <c r="Q24" i="12"/>
  <c r="P6" i="3" s="1"/>
  <c r="Q30" i="12"/>
  <c r="Q28" i="12"/>
  <c r="Q22" i="12"/>
  <c r="Q18" i="12"/>
  <c r="Q12" i="12"/>
  <c r="Q8" i="12"/>
  <c r="Q6" i="12"/>
  <c r="Q32" i="12"/>
  <c r="P8" i="3" s="1"/>
  <c r="Q17" i="12"/>
  <c r="K3" i="6"/>
  <c r="Q3" i="3"/>
  <c r="R5" i="12" s="1"/>
  <c r="P4" i="3"/>
  <c r="T30" i="10"/>
  <c r="B57" i="3"/>
  <c r="B76" i="3"/>
  <c r="J4" i="6"/>
  <c r="M7" i="3" l="1"/>
  <c r="N34" i="12"/>
  <c r="M9" i="3" s="1"/>
  <c r="N7" i="3"/>
  <c r="O34" i="12"/>
  <c r="N9" i="3" s="1"/>
  <c r="R23" i="12"/>
  <c r="R19" i="12"/>
  <c r="R11" i="12"/>
  <c r="R24" i="12"/>
  <c r="Q6" i="3" s="1"/>
  <c r="R30" i="12"/>
  <c r="R28" i="12"/>
  <c r="R22" i="12"/>
  <c r="R18" i="12"/>
  <c r="R12" i="12"/>
  <c r="R8" i="12"/>
  <c r="R6" i="12"/>
  <c r="R34" i="12"/>
  <c r="Q9" i="3" s="1"/>
  <c r="R31" i="12"/>
  <c r="R29" i="12"/>
  <c r="R26" i="12"/>
  <c r="Q7" i="3" s="1"/>
  <c r="R16" i="12"/>
  <c r="R14" i="12"/>
  <c r="Q5" i="3" s="1"/>
  <c r="R32" i="12"/>
  <c r="Q8" i="3" s="1"/>
  <c r="R21" i="12"/>
  <c r="R17" i="12"/>
  <c r="R20" i="12"/>
  <c r="R9" i="12"/>
  <c r="R7" i="12"/>
  <c r="L3" i="6"/>
  <c r="Q4" i="3"/>
  <c r="R3" i="3"/>
  <c r="S5" i="12" s="1"/>
  <c r="U30" i="10"/>
  <c r="B58" i="3"/>
  <c r="B77" i="3"/>
  <c r="K4" i="6"/>
  <c r="S24" i="12" l="1"/>
  <c r="R6" i="3" s="1"/>
  <c r="S30" i="12"/>
  <c r="S28" i="12"/>
  <c r="S22" i="12"/>
  <c r="S18" i="12"/>
  <c r="S12" i="12"/>
  <c r="S8" i="12"/>
  <c r="S6" i="12"/>
  <c r="S23" i="12"/>
  <c r="S19" i="12"/>
  <c r="S32" i="12"/>
  <c r="R8" i="3" s="1"/>
  <c r="S21" i="12"/>
  <c r="S17" i="12"/>
  <c r="S34" i="12"/>
  <c r="R9" i="3" s="1"/>
  <c r="S31" i="12"/>
  <c r="S29" i="12"/>
  <c r="S26" i="12"/>
  <c r="R7" i="3" s="1"/>
  <c r="S20" i="12"/>
  <c r="S16" i="12"/>
  <c r="S14" i="12"/>
  <c r="R5" i="3" s="1"/>
  <c r="S9" i="12"/>
  <c r="S7" i="12"/>
  <c r="S11" i="12"/>
  <c r="M3" i="6"/>
  <c r="R4" i="3"/>
  <c r="S3" i="3"/>
  <c r="B59" i="3"/>
  <c r="B78" i="3"/>
  <c r="L4" i="6"/>
  <c r="T3" i="3" l="1"/>
  <c r="T5" i="12"/>
  <c r="N3" i="6"/>
  <c r="B60" i="3"/>
  <c r="B79" i="3"/>
  <c r="M4" i="6"/>
  <c r="T32" i="12" l="1"/>
  <c r="T21" i="12"/>
  <c r="T17" i="12"/>
  <c r="T24" i="12"/>
  <c r="T30" i="12"/>
  <c r="T28" i="12"/>
  <c r="T12" i="12"/>
  <c r="T34" i="12"/>
  <c r="T31" i="12"/>
  <c r="T29" i="12"/>
  <c r="T26" i="12"/>
  <c r="T20" i="12"/>
  <c r="T16" i="12"/>
  <c r="T14" i="12"/>
  <c r="T9" i="12"/>
  <c r="T7" i="12"/>
  <c r="T18" i="12"/>
  <c r="T8" i="12"/>
  <c r="T6" i="12"/>
  <c r="T23" i="12"/>
  <c r="T19" i="12"/>
  <c r="T11" i="12"/>
  <c r="T22" i="12"/>
  <c r="O3" i="6"/>
  <c r="B61" i="3"/>
  <c r="B80" i="3"/>
  <c r="N4" i="6"/>
  <c r="N6" i="6" l="1"/>
  <c r="P3" i="6"/>
  <c r="B62" i="3"/>
  <c r="B81" i="3"/>
  <c r="O4" i="6"/>
  <c r="O6" i="6" l="1"/>
  <c r="Q3" i="6"/>
  <c r="B63" i="3"/>
  <c r="B82" i="3"/>
  <c r="P4" i="6"/>
  <c r="P6" i="6" l="1"/>
  <c r="R3" i="6"/>
  <c r="B83" i="3"/>
  <c r="Q4" i="6"/>
  <c r="Q6" i="6" l="1"/>
  <c r="S3" i="6"/>
  <c r="T3" i="6" s="1"/>
  <c r="R4" i="6"/>
  <c r="R29" i="3" l="1"/>
  <c r="R6" i="6"/>
  <c r="R26" i="3" s="1"/>
  <c r="F18" i="3"/>
  <c r="O26" i="3"/>
  <c r="O29" i="3"/>
  <c r="P29" i="3"/>
  <c r="D15" i="3"/>
  <c r="H10" i="9"/>
  <c r="N29" i="3"/>
  <c r="G18" i="3"/>
  <c r="F46" i="3"/>
  <c r="M46" i="3"/>
  <c r="Q26" i="3"/>
  <c r="P26" i="3"/>
  <c r="E18" i="3"/>
  <c r="Q29" i="3"/>
  <c r="N26" i="3"/>
  <c r="N34" i="3" s="1"/>
  <c r="Q18" i="3"/>
  <c r="N18" i="3"/>
  <c r="D46" i="3"/>
  <c r="K18" i="3"/>
  <c r="L18" i="3"/>
  <c r="H18" i="3"/>
  <c r="H46" i="3"/>
  <c r="J46" i="3"/>
  <c r="L46" i="3"/>
  <c r="K46" i="3"/>
  <c r="J18" i="3"/>
  <c r="I46" i="3"/>
  <c r="I18" i="3"/>
  <c r="E46" i="3" l="1"/>
  <c r="P28" i="3"/>
  <c r="O34" i="3"/>
  <c r="O41" i="3" s="1"/>
  <c r="R31" i="10" s="1"/>
  <c r="O27" i="3"/>
  <c r="N27" i="3"/>
  <c r="Q27" i="3"/>
  <c r="N41" i="3"/>
  <c r="Q31" i="10" s="1"/>
  <c r="D12" i="3"/>
  <c r="D49" i="3" s="1"/>
  <c r="I12" i="3"/>
  <c r="H9" i="9"/>
  <c r="N46" i="3"/>
  <c r="N28" i="3"/>
  <c r="P27" i="3"/>
  <c r="R28" i="3"/>
  <c r="G46" i="3"/>
  <c r="G53" i="3" s="1"/>
  <c r="Q28" i="3"/>
  <c r="P34" i="3"/>
  <c r="P41" i="3" s="1"/>
  <c r="R27" i="3"/>
  <c r="Q46" i="3"/>
  <c r="Q80" i="3" s="1"/>
  <c r="P46" i="3"/>
  <c r="P79" i="3" s="1"/>
  <c r="Q34" i="3"/>
  <c r="O28" i="3"/>
  <c r="O46" i="3"/>
  <c r="R34" i="3"/>
  <c r="R46" i="3"/>
  <c r="E12" i="3"/>
  <c r="D18" i="3"/>
  <c r="K58" i="3"/>
  <c r="K62" i="3"/>
  <c r="K53" i="3"/>
  <c r="K77" i="3"/>
  <c r="K49" i="3"/>
  <c r="K52" i="3"/>
  <c r="K55" i="3"/>
  <c r="K80" i="3"/>
  <c r="K61" i="3"/>
  <c r="K51" i="3"/>
  <c r="K54" i="3"/>
  <c r="K59" i="3"/>
  <c r="K82" i="3"/>
  <c r="K63" i="3"/>
  <c r="K83" i="3"/>
  <c r="K50" i="3"/>
  <c r="K57" i="3"/>
  <c r="K81" i="3"/>
  <c r="K60" i="3"/>
  <c r="K66" i="3"/>
  <c r="K78" i="3"/>
  <c r="K79" i="3"/>
  <c r="H50" i="3"/>
  <c r="H58" i="3"/>
  <c r="H55" i="3"/>
  <c r="H79" i="3"/>
  <c r="H62" i="3"/>
  <c r="H74" i="3"/>
  <c r="H82" i="3"/>
  <c r="H52" i="3"/>
  <c r="H60" i="3"/>
  <c r="H59" i="3"/>
  <c r="H81" i="3"/>
  <c r="H66" i="3"/>
  <c r="H76" i="3"/>
  <c r="H54" i="3"/>
  <c r="H49" i="3"/>
  <c r="H61" i="3"/>
  <c r="H75" i="3"/>
  <c r="H83" i="3"/>
  <c r="H78" i="3"/>
  <c r="H56" i="3"/>
  <c r="H51" i="3"/>
  <c r="H63" i="3"/>
  <c r="H77" i="3"/>
  <c r="H57" i="3"/>
  <c r="H80" i="3"/>
  <c r="F55" i="3"/>
  <c r="F50" i="3"/>
  <c r="F66" i="3"/>
  <c r="F76" i="3"/>
  <c r="F52" i="3"/>
  <c r="F63" i="3"/>
  <c r="F77" i="3"/>
  <c r="F49" i="3"/>
  <c r="F57" i="3"/>
  <c r="F56" i="3"/>
  <c r="F78" i="3"/>
  <c r="F54" i="3"/>
  <c r="F79" i="3"/>
  <c r="F59" i="3"/>
  <c r="F60" i="3"/>
  <c r="F72" i="3"/>
  <c r="F80" i="3"/>
  <c r="F58" i="3"/>
  <c r="F73" i="3"/>
  <c r="F81" i="3"/>
  <c r="F53" i="3"/>
  <c r="F62" i="3"/>
  <c r="F74" i="3"/>
  <c r="F82" i="3"/>
  <c r="F61" i="3"/>
  <c r="F75" i="3"/>
  <c r="F83" i="3"/>
  <c r="M50" i="3"/>
  <c r="M53" i="3"/>
  <c r="M60" i="3"/>
  <c r="M56" i="3"/>
  <c r="M82" i="3"/>
  <c r="M52" i="3"/>
  <c r="M55" i="3"/>
  <c r="M54" i="3"/>
  <c r="M79" i="3"/>
  <c r="M62" i="3"/>
  <c r="M49" i="3"/>
  <c r="M57" i="3"/>
  <c r="M61" i="3"/>
  <c r="M81" i="3"/>
  <c r="M66" i="3"/>
  <c r="M51" i="3"/>
  <c r="M59" i="3"/>
  <c r="M63" i="3"/>
  <c r="M83" i="3"/>
  <c r="M80" i="3"/>
  <c r="L50" i="3"/>
  <c r="L58" i="3"/>
  <c r="L63" i="3"/>
  <c r="L51" i="3"/>
  <c r="L66" i="3"/>
  <c r="L60" i="3"/>
  <c r="L52" i="3"/>
  <c r="L49" i="3"/>
  <c r="L79" i="3"/>
  <c r="L55" i="3"/>
  <c r="L78" i="3"/>
  <c r="L54" i="3"/>
  <c r="L53" i="3"/>
  <c r="L81" i="3"/>
  <c r="L59" i="3"/>
  <c r="L80" i="3"/>
  <c r="L56" i="3"/>
  <c r="L61" i="3"/>
  <c r="L83" i="3"/>
  <c r="L62" i="3"/>
  <c r="L82" i="3"/>
  <c r="J57" i="3"/>
  <c r="J54" i="3"/>
  <c r="J78" i="3"/>
  <c r="J60" i="3"/>
  <c r="J81" i="3"/>
  <c r="J49" i="3"/>
  <c r="J59" i="3"/>
  <c r="J58" i="3"/>
  <c r="J80" i="3"/>
  <c r="J61" i="3"/>
  <c r="J83" i="3"/>
  <c r="J51" i="3"/>
  <c r="J62" i="3"/>
  <c r="J82" i="3"/>
  <c r="J63" i="3"/>
  <c r="J77" i="3"/>
  <c r="J52" i="3"/>
  <c r="J53" i="3"/>
  <c r="J50" i="3"/>
  <c r="J66" i="3"/>
  <c r="J76" i="3"/>
  <c r="J56" i="3"/>
  <c r="J79" i="3"/>
  <c r="E49" i="3"/>
  <c r="E57" i="3"/>
  <c r="E58" i="3"/>
  <c r="E73" i="3"/>
  <c r="E81" i="3"/>
  <c r="E62" i="3"/>
  <c r="E76" i="3"/>
  <c r="E51" i="3"/>
  <c r="E59" i="3"/>
  <c r="E63" i="3"/>
  <c r="E75" i="3"/>
  <c r="E83" i="3"/>
  <c r="E66" i="3"/>
  <c r="E78" i="3"/>
  <c r="E53" i="3"/>
  <c r="E61" i="3"/>
  <c r="E77" i="3"/>
  <c r="E56" i="3"/>
  <c r="E72" i="3"/>
  <c r="E80" i="3"/>
  <c r="E52" i="3"/>
  <c r="E55" i="3"/>
  <c r="E54" i="3"/>
  <c r="E71" i="3"/>
  <c r="E79" i="3"/>
  <c r="E60" i="3"/>
  <c r="E74" i="3"/>
  <c r="E82" i="3"/>
  <c r="I51" i="3"/>
  <c r="I59" i="3"/>
  <c r="I63" i="3"/>
  <c r="I75" i="3"/>
  <c r="I49" i="3"/>
  <c r="I57" i="3"/>
  <c r="I61" i="3"/>
  <c r="I81" i="3"/>
  <c r="I66" i="3"/>
  <c r="I78" i="3"/>
  <c r="I55" i="3"/>
  <c r="I58" i="3"/>
  <c r="I76" i="3"/>
  <c r="I50" i="3"/>
  <c r="I56" i="3"/>
  <c r="I77" i="3"/>
  <c r="I62" i="3"/>
  <c r="I80" i="3"/>
  <c r="I52" i="3"/>
  <c r="I60" i="3"/>
  <c r="I79" i="3"/>
  <c r="I82" i="3"/>
  <c r="I53" i="3"/>
  <c r="I83" i="3"/>
  <c r="D50" i="3"/>
  <c r="D58" i="3"/>
  <c r="D53" i="3"/>
  <c r="D71" i="3"/>
  <c r="D79" i="3"/>
  <c r="D55" i="3"/>
  <c r="D70" i="3"/>
  <c r="D78" i="3"/>
  <c r="D52" i="3"/>
  <c r="D60" i="3"/>
  <c r="D57" i="3"/>
  <c r="D73" i="3"/>
  <c r="D81" i="3"/>
  <c r="D59" i="3"/>
  <c r="D72" i="3"/>
  <c r="D80" i="3"/>
  <c r="D54" i="3"/>
  <c r="D63" i="3"/>
  <c r="D75" i="3"/>
  <c r="D83" i="3"/>
  <c r="D62" i="3"/>
  <c r="D74" i="3"/>
  <c r="D82" i="3"/>
  <c r="D56" i="3"/>
  <c r="D51" i="3"/>
  <c r="D77" i="3"/>
  <c r="D61" i="3"/>
  <c r="D66" i="3"/>
  <c r="D76" i="3"/>
  <c r="E50" i="3" l="1"/>
  <c r="Q75" i="3"/>
  <c r="N57" i="3"/>
  <c r="N62" i="3"/>
  <c r="F12" i="3"/>
  <c r="R41" i="3"/>
  <c r="U31" i="10" s="1"/>
  <c r="Q41" i="3"/>
  <c r="T31" i="10" s="1"/>
  <c r="N56" i="3"/>
  <c r="N58" i="3"/>
  <c r="N52" i="3"/>
  <c r="N53" i="3"/>
  <c r="N60" i="3"/>
  <c r="N83" i="3"/>
  <c r="N81" i="3"/>
  <c r="N61" i="3"/>
  <c r="N80" i="3"/>
  <c r="N50" i="3"/>
  <c r="N63" i="3"/>
  <c r="N51" i="3"/>
  <c r="N54" i="3"/>
  <c r="N55" i="3"/>
  <c r="N49" i="3"/>
  <c r="N66" i="3"/>
  <c r="N82" i="3"/>
  <c r="G55" i="3"/>
  <c r="G61" i="3"/>
  <c r="G54" i="3"/>
  <c r="G74" i="3"/>
  <c r="G60" i="3"/>
  <c r="G79" i="3"/>
  <c r="G59" i="3"/>
  <c r="G50" i="3"/>
  <c r="G76" i="3"/>
  <c r="G83" i="3"/>
  <c r="G57" i="3"/>
  <c r="G75" i="3"/>
  <c r="G80" i="3"/>
  <c r="G49" i="3"/>
  <c r="G78" i="3"/>
  <c r="G77" i="3"/>
  <c r="G62" i="3"/>
  <c r="G63" i="3"/>
  <c r="G56" i="3"/>
  <c r="G81" i="3"/>
  <c r="G66" i="3"/>
  <c r="G58" i="3"/>
  <c r="G82" i="3"/>
  <c r="G51" i="3"/>
  <c r="G73" i="3"/>
  <c r="G12" i="3"/>
  <c r="G52" i="3" s="1"/>
  <c r="H12" i="3"/>
  <c r="H53" i="3" s="1"/>
  <c r="Q73" i="3"/>
  <c r="P59" i="3"/>
  <c r="P78" i="3"/>
  <c r="P54" i="3"/>
  <c r="P52" i="3"/>
  <c r="P83" i="3"/>
  <c r="P49" i="3"/>
  <c r="P57" i="3"/>
  <c r="Q52" i="3"/>
  <c r="Q51" i="3"/>
  <c r="Q60" i="3"/>
  <c r="Q48" i="3"/>
  <c r="Q74" i="3"/>
  <c r="Q66" i="3"/>
  <c r="Q56" i="3"/>
  <c r="Q59" i="3"/>
  <c r="Q81" i="3"/>
  <c r="Q72" i="3"/>
  <c r="Q83" i="3"/>
  <c r="Q70" i="3"/>
  <c r="Q58" i="3"/>
  <c r="Q49" i="3"/>
  <c r="Q76" i="3"/>
  <c r="Q54" i="3"/>
  <c r="Q78" i="3"/>
  <c r="Q50" i="3"/>
  <c r="Q63" i="3"/>
  <c r="Q61" i="3"/>
  <c r="Q77" i="3"/>
  <c r="Q53" i="3"/>
  <c r="Q69" i="3"/>
  <c r="Q79" i="3"/>
  <c r="Q57" i="3"/>
  <c r="Q71" i="3"/>
  <c r="Q55" i="3"/>
  <c r="P71" i="3"/>
  <c r="P48" i="3"/>
  <c r="P74" i="3"/>
  <c r="P69" i="3"/>
  <c r="P56" i="3"/>
  <c r="P72" i="3"/>
  <c r="P55" i="3"/>
  <c r="P80" i="3"/>
  <c r="P82" i="3"/>
  <c r="P53" i="3"/>
  <c r="P58" i="3"/>
  <c r="P70" i="3"/>
  <c r="P50" i="3"/>
  <c r="P76" i="3"/>
  <c r="P66" i="3"/>
  <c r="P68" i="3" s="1"/>
  <c r="P35" i="3" s="1"/>
  <c r="P62" i="3"/>
  <c r="P63" i="3"/>
  <c r="P75" i="3"/>
  <c r="P51" i="3"/>
  <c r="P73" i="3"/>
  <c r="P77" i="3"/>
  <c r="P60" i="3"/>
  <c r="O73" i="3"/>
  <c r="O83" i="3"/>
  <c r="O51" i="3"/>
  <c r="O69" i="3"/>
  <c r="O50" i="3"/>
  <c r="O59" i="3"/>
  <c r="O52" i="3"/>
  <c r="O75" i="3"/>
  <c r="O49" i="3"/>
  <c r="O74" i="3"/>
  <c r="O66" i="3"/>
  <c r="O71" i="3"/>
  <c r="O57" i="3"/>
  <c r="O55" i="3"/>
  <c r="O62" i="3"/>
  <c r="O58" i="3"/>
  <c r="O78" i="3"/>
  <c r="O72" i="3"/>
  <c r="O81" i="3"/>
  <c r="O53" i="3"/>
  <c r="O82" i="3"/>
  <c r="O77" i="3"/>
  <c r="O63" i="3"/>
  <c r="O79" i="3"/>
  <c r="O61" i="3"/>
  <c r="O54" i="3"/>
  <c r="O76" i="3"/>
  <c r="O48" i="3"/>
  <c r="O70" i="3"/>
  <c r="O56" i="3"/>
  <c r="R60" i="3"/>
  <c r="R62" i="3"/>
  <c r="R55" i="3"/>
  <c r="R74" i="3"/>
  <c r="R57" i="3"/>
  <c r="R81" i="3"/>
  <c r="R53" i="3"/>
  <c r="R54" i="3"/>
  <c r="R61" i="3"/>
  <c r="R51" i="3"/>
  <c r="R77" i="3"/>
  <c r="R48" i="3"/>
  <c r="R78" i="3"/>
  <c r="R56" i="3"/>
  <c r="R80" i="3"/>
  <c r="R71" i="3"/>
  <c r="R52" i="3"/>
  <c r="R72" i="3"/>
  <c r="R82" i="3"/>
  <c r="R75" i="3"/>
  <c r="R58" i="3"/>
  <c r="R49" i="3"/>
  <c r="R69" i="3"/>
  <c r="R50" i="3"/>
  <c r="R66" i="3"/>
  <c r="R79" i="3"/>
  <c r="R59" i="3"/>
  <c r="R70" i="3"/>
  <c r="R76" i="3"/>
  <c r="R73" i="3"/>
  <c r="Q68" i="3"/>
  <c r="Q35" i="3" s="1"/>
  <c r="I54" i="3"/>
  <c r="F51" i="3" l="1"/>
  <c r="J12" i="3"/>
  <c r="Q33" i="3"/>
  <c r="R17" i="3"/>
  <c r="O17" i="3"/>
  <c r="P17" i="3"/>
  <c r="R68" i="3"/>
  <c r="R35" i="3" s="1"/>
  <c r="Q17" i="3"/>
  <c r="P33" i="3"/>
  <c r="O68" i="3"/>
  <c r="O35" i="3" s="1"/>
  <c r="K12" i="3"/>
  <c r="J55" i="3" l="1"/>
  <c r="Q36" i="3"/>
  <c r="O36" i="3"/>
  <c r="O33" i="3"/>
  <c r="P36" i="3"/>
  <c r="R33" i="3"/>
  <c r="R36" i="3"/>
  <c r="K56" i="3"/>
  <c r="L12" i="3"/>
  <c r="M12" i="3" l="1"/>
  <c r="L57" i="3"/>
  <c r="M58" i="3" l="1"/>
  <c r="M18" i="3"/>
  <c r="N12" i="3"/>
  <c r="N31" i="3" s="1"/>
  <c r="N59" i="3" l="1"/>
  <c r="O12" i="3"/>
  <c r="O18" i="3" s="1"/>
  <c r="N79" i="3"/>
  <c r="P12" i="3" l="1"/>
  <c r="P18" i="3" s="1"/>
  <c r="O31" i="3"/>
  <c r="O21" i="3"/>
  <c r="O60" i="3"/>
  <c r="O47" i="3" s="1"/>
  <c r="O23" i="3" s="1"/>
  <c r="O24" i="3" s="1"/>
  <c r="O32" i="3" l="1"/>
  <c r="O80" i="3"/>
  <c r="O67" i="3" s="1"/>
  <c r="O38" i="3" s="1"/>
  <c r="Q12" i="3"/>
  <c r="R12" i="3"/>
  <c r="P31" i="3"/>
  <c r="P61" i="3"/>
  <c r="P47" i="3" s="1"/>
  <c r="P23" i="3" s="1"/>
  <c r="P24" i="3" s="1"/>
  <c r="P21" i="3"/>
  <c r="Q31" i="3" l="1"/>
  <c r="Q62" i="3"/>
  <c r="Q47" i="3" s="1"/>
  <c r="Q23" i="3" s="1"/>
  <c r="Q24" i="3" s="1"/>
  <c r="Q21" i="3"/>
  <c r="P32" i="3"/>
  <c r="S31" i="10" s="1"/>
  <c r="P81" i="3"/>
  <c r="P67" i="3" s="1"/>
  <c r="P38" i="3" s="1"/>
  <c r="R31" i="3"/>
  <c r="R21" i="3"/>
  <c r="R18" i="3"/>
  <c r="D18" i="9" s="1"/>
  <c r="R63" i="3"/>
  <c r="R47" i="3" s="1"/>
  <c r="R23" i="3" l="1"/>
  <c r="R24" i="3" s="1"/>
  <c r="Q32" i="3"/>
  <c r="Q82" i="3"/>
  <c r="Q67" i="3" s="1"/>
  <c r="Q38" i="3" s="1"/>
  <c r="R32" i="3"/>
  <c r="H12" i="9" s="1"/>
  <c r="R83" i="3"/>
  <c r="R67" i="3" s="1"/>
  <c r="R38" i="3" s="1"/>
  <c r="I5" i="1" l="1"/>
  <c r="D13" i="3"/>
  <c r="O13" i="3" l="1"/>
  <c r="K13" i="3"/>
  <c r="G13" i="3"/>
  <c r="R13" i="3"/>
  <c r="N13" i="3"/>
  <c r="J13" i="3"/>
  <c r="F13" i="3"/>
  <c r="D19" i="9"/>
  <c r="D17" i="9" s="1"/>
  <c r="H7" i="9" s="1"/>
  <c r="Q13" i="3"/>
  <c r="M13" i="3"/>
  <c r="I13" i="3"/>
  <c r="E13" i="3"/>
  <c r="P13" i="3"/>
  <c r="L13" i="3"/>
  <c r="H13" i="3"/>
  <c r="K5" i="1"/>
  <c r="T5" i="1" s="1"/>
  <c r="H17" i="9" l="1"/>
  <c r="H6" i="9" s="1"/>
  <c r="F48" i="3" s="1"/>
  <c r="F16" i="3" s="1"/>
  <c r="H5" i="1"/>
  <c r="H11" i="9"/>
  <c r="H8" i="9"/>
  <c r="W5" i="1"/>
  <c r="S5" i="1"/>
  <c r="O5" i="1" s="1"/>
  <c r="M5" i="1" s="1"/>
  <c r="H18" i="9" l="1"/>
  <c r="H19" i="9"/>
  <c r="D6" i="10" s="1"/>
  <c r="N48" i="3"/>
  <c r="K6" i="6"/>
  <c r="G6" i="6"/>
  <c r="J6" i="6"/>
  <c r="H6" i="6"/>
  <c r="L6" i="6"/>
  <c r="M6" i="6"/>
  <c r="I6" i="6"/>
  <c r="F47" i="3"/>
  <c r="F20" i="3" s="1"/>
  <c r="F21" i="3"/>
  <c r="J48" i="3"/>
  <c r="J16" i="3" s="1"/>
  <c r="G48" i="3"/>
  <c r="G16" i="3" s="1"/>
  <c r="K48" i="3"/>
  <c r="K16" i="3" s="1"/>
  <c r="D48" i="3"/>
  <c r="H48" i="3"/>
  <c r="H16" i="3" s="1"/>
  <c r="L48" i="3"/>
  <c r="L16" i="3" s="1"/>
  <c r="E48" i="3"/>
  <c r="E16" i="3" s="1"/>
  <c r="I48" i="3"/>
  <c r="I16" i="3" s="1"/>
  <c r="M48" i="3"/>
  <c r="M16" i="3" s="1"/>
  <c r="J5" i="1"/>
  <c r="N5" i="1"/>
  <c r="D6" i="6" s="1"/>
  <c r="E6" i="6" l="1"/>
  <c r="E29" i="3" s="1"/>
  <c r="D5" i="10"/>
  <c r="F6" i="6"/>
  <c r="F29" i="3" s="1"/>
  <c r="N21" i="3"/>
  <c r="N47" i="3"/>
  <c r="J29" i="3"/>
  <c r="J26" i="3"/>
  <c r="I29" i="3"/>
  <c r="I26" i="3"/>
  <c r="H29" i="3"/>
  <c r="H26" i="3"/>
  <c r="G26" i="3"/>
  <c r="G29" i="3"/>
  <c r="L21" i="3"/>
  <c r="L47" i="3"/>
  <c r="L20" i="3" s="1"/>
  <c r="G21" i="3"/>
  <c r="G47" i="3"/>
  <c r="G20" i="3" s="1"/>
  <c r="D29" i="3"/>
  <c r="D26" i="3"/>
  <c r="M47" i="3"/>
  <c r="M20" i="3" s="1"/>
  <c r="M21" i="3"/>
  <c r="D22" i="9" s="1"/>
  <c r="H21" i="3"/>
  <c r="H47" i="3"/>
  <c r="H20" i="3" s="1"/>
  <c r="J47" i="3"/>
  <c r="J20" i="3" s="1"/>
  <c r="J21" i="3"/>
  <c r="I47" i="3"/>
  <c r="I20" i="3" s="1"/>
  <c r="I21" i="3"/>
  <c r="D16" i="3"/>
  <c r="D21" i="3"/>
  <c r="D47" i="3"/>
  <c r="D20" i="3" s="1"/>
  <c r="M29" i="3"/>
  <c r="M26" i="3"/>
  <c r="L29" i="3"/>
  <c r="L26" i="3"/>
  <c r="K26" i="3"/>
  <c r="K29" i="3"/>
  <c r="E47" i="3"/>
  <c r="E20" i="3" s="1"/>
  <c r="E21" i="3"/>
  <c r="K21" i="3"/>
  <c r="K47" i="3"/>
  <c r="K20" i="3" s="1"/>
  <c r="E26" i="3" l="1"/>
  <c r="D21" i="9"/>
  <c r="D5" i="11" s="1"/>
  <c r="F26" i="3"/>
  <c r="F34" i="3" s="1"/>
  <c r="N71" i="3" s="1"/>
  <c r="D17" i="3"/>
  <c r="N17" i="3"/>
  <c r="N23" i="3" s="1"/>
  <c r="N24" i="3" s="1"/>
  <c r="E17" i="3"/>
  <c r="E23" i="3" s="1"/>
  <c r="E24" i="3" s="1"/>
  <c r="M28" i="3"/>
  <c r="M31" i="3"/>
  <c r="L27" i="3"/>
  <c r="L34" i="3"/>
  <c r="N77" i="3" s="1"/>
  <c r="J17" i="3"/>
  <c r="J23" i="3" s="1"/>
  <c r="J24" i="3" s="1"/>
  <c r="D28" i="3"/>
  <c r="D31" i="3"/>
  <c r="F28" i="3"/>
  <c r="F31" i="3"/>
  <c r="G17" i="3"/>
  <c r="G23" i="3" s="1"/>
  <c r="G24" i="3" s="1"/>
  <c r="G28" i="3"/>
  <c r="G31" i="3"/>
  <c r="I34" i="3"/>
  <c r="N74" i="3" s="1"/>
  <c r="I27" i="3"/>
  <c r="L28" i="3"/>
  <c r="L31" i="3"/>
  <c r="I17" i="3"/>
  <c r="I23" i="3" s="1"/>
  <c r="I24" i="3" s="1"/>
  <c r="E34" i="3"/>
  <c r="N70" i="3" s="1"/>
  <c r="E27" i="3"/>
  <c r="F17" i="3"/>
  <c r="F23" i="3" s="1"/>
  <c r="F24" i="3" s="1"/>
  <c r="G27" i="3"/>
  <c r="G34" i="3"/>
  <c r="N72" i="3" s="1"/>
  <c r="I28" i="3"/>
  <c r="I31" i="3"/>
  <c r="K17" i="3"/>
  <c r="K23" i="3" s="1"/>
  <c r="K24" i="3" s="1"/>
  <c r="K28" i="3"/>
  <c r="K31" i="3"/>
  <c r="M34" i="3"/>
  <c r="N78" i="3" s="1"/>
  <c r="M27" i="3"/>
  <c r="D23" i="3"/>
  <c r="D24" i="3" s="1"/>
  <c r="H17" i="3"/>
  <c r="H23" i="3" s="1"/>
  <c r="H24" i="3" s="1"/>
  <c r="M17" i="3"/>
  <c r="E28" i="3"/>
  <c r="E31" i="3"/>
  <c r="L17" i="3"/>
  <c r="L23" i="3" s="1"/>
  <c r="L24" i="3" s="1"/>
  <c r="H27" i="3"/>
  <c r="H34" i="3"/>
  <c r="N73" i="3" s="1"/>
  <c r="J34" i="3"/>
  <c r="N75" i="3" s="1"/>
  <c r="J27" i="3"/>
  <c r="K27" i="3"/>
  <c r="K34" i="3"/>
  <c r="N76" i="3" s="1"/>
  <c r="D27" i="3"/>
  <c r="D34" i="3"/>
  <c r="H28" i="3"/>
  <c r="H31" i="3"/>
  <c r="J28" i="3"/>
  <c r="J31" i="3"/>
  <c r="F27" i="3" l="1"/>
  <c r="N69" i="3"/>
  <c r="N68" i="3"/>
  <c r="N39" i="3" s="1"/>
  <c r="Q39" i="3"/>
  <c r="Q37" i="3" s="1"/>
  <c r="R39" i="3"/>
  <c r="R37" i="3" s="1"/>
  <c r="E69" i="3"/>
  <c r="I69" i="3"/>
  <c r="M69" i="3"/>
  <c r="O39" i="3"/>
  <c r="O37" i="3" s="1"/>
  <c r="D41" i="3"/>
  <c r="G31" i="10" s="1"/>
  <c r="F69" i="3"/>
  <c r="J69" i="3"/>
  <c r="P39" i="3"/>
  <c r="P37" i="3" s="1"/>
  <c r="G69" i="3"/>
  <c r="K69" i="3"/>
  <c r="D69" i="3"/>
  <c r="H69" i="3"/>
  <c r="L69" i="3"/>
  <c r="G68" i="3"/>
  <c r="G39" i="3" s="1"/>
  <c r="L68" i="3"/>
  <c r="L32" i="3" s="1"/>
  <c r="J68" i="3"/>
  <c r="J32" i="3" s="1"/>
  <c r="K68" i="3"/>
  <c r="K39" i="3" s="1"/>
  <c r="E68" i="3"/>
  <c r="E39" i="3" s="1"/>
  <c r="F68" i="3"/>
  <c r="F39" i="3" s="1"/>
  <c r="D68" i="3"/>
  <c r="I68" i="3"/>
  <c r="I39" i="3" s="1"/>
  <c r="H68" i="3"/>
  <c r="H35" i="3" s="1"/>
  <c r="M68" i="3"/>
  <c r="M32" i="3" s="1"/>
  <c r="D29" i="9"/>
  <c r="D10" i="11" s="1"/>
  <c r="M75" i="3"/>
  <c r="L75" i="3"/>
  <c r="J41" i="3"/>
  <c r="M31" i="10" s="1"/>
  <c r="J75" i="3"/>
  <c r="K75" i="3"/>
  <c r="E32" i="3"/>
  <c r="G41" i="3"/>
  <c r="J31" i="10" s="1"/>
  <c r="I72" i="3"/>
  <c r="M72" i="3"/>
  <c r="J72" i="3"/>
  <c r="G72" i="3"/>
  <c r="K72" i="3"/>
  <c r="H72" i="3"/>
  <c r="L72" i="3"/>
  <c r="H70" i="3"/>
  <c r="L70" i="3"/>
  <c r="E70" i="3"/>
  <c r="I70" i="3"/>
  <c r="M70" i="3"/>
  <c r="E41" i="3"/>
  <c r="H31" i="10" s="1"/>
  <c r="F70" i="3"/>
  <c r="J70" i="3"/>
  <c r="K70" i="3"/>
  <c r="G70" i="3"/>
  <c r="D30" i="9"/>
  <c r="D11" i="11" s="1"/>
  <c r="M41" i="3"/>
  <c r="P31" i="10" s="1"/>
  <c r="F41" i="3"/>
  <c r="I31" i="10" s="1"/>
  <c r="H71" i="3"/>
  <c r="L71" i="3"/>
  <c r="I71" i="3"/>
  <c r="M71" i="3"/>
  <c r="F71" i="3"/>
  <c r="J71" i="3"/>
  <c r="G71" i="3"/>
  <c r="K71" i="3"/>
  <c r="M23" i="3"/>
  <c r="M24" i="3" s="1"/>
  <c r="D23" i="9"/>
  <c r="M78" i="3"/>
  <c r="L41" i="3"/>
  <c r="O31" i="10" s="1"/>
  <c r="L77" i="3"/>
  <c r="M77" i="3"/>
  <c r="K41" i="3"/>
  <c r="N31" i="10" s="1"/>
  <c r="K76" i="3"/>
  <c r="L76" i="3"/>
  <c r="M76" i="3"/>
  <c r="K73" i="3"/>
  <c r="H41" i="3"/>
  <c r="K31" i="10" s="1"/>
  <c r="H73" i="3"/>
  <c r="L73" i="3"/>
  <c r="I73" i="3"/>
  <c r="M73" i="3"/>
  <c r="J73" i="3"/>
  <c r="J74" i="3"/>
  <c r="I41" i="3"/>
  <c r="L31" i="10" s="1"/>
  <c r="L74" i="3"/>
  <c r="M74" i="3"/>
  <c r="K74" i="3"/>
  <c r="I74" i="3"/>
  <c r="N35" i="3" l="1"/>
  <c r="N36" i="3" s="1"/>
  <c r="N32" i="3"/>
  <c r="N67" i="3"/>
  <c r="N38" i="3" s="1"/>
  <c r="F32" i="3"/>
  <c r="L35" i="3"/>
  <c r="M35" i="3"/>
  <c r="H32" i="3"/>
  <c r="E35" i="3"/>
  <c r="F35" i="3"/>
  <c r="G35" i="3"/>
  <c r="K32" i="3"/>
  <c r="K35" i="3"/>
  <c r="I35" i="3"/>
  <c r="F31" i="10"/>
  <c r="D67" i="3"/>
  <c r="D38" i="3" s="1"/>
  <c r="J67" i="3"/>
  <c r="J38" i="3" s="1"/>
  <c r="J35" i="3"/>
  <c r="M67" i="3"/>
  <c r="M38" i="3" s="1"/>
  <c r="D25" i="9" s="1"/>
  <c r="D6" i="11" s="1"/>
  <c r="F67" i="3"/>
  <c r="F38" i="3" s="1"/>
  <c r="L67" i="3"/>
  <c r="L38" i="3" s="1"/>
  <c r="L39" i="3"/>
  <c r="D35" i="3"/>
  <c r="D36" i="3" s="1"/>
  <c r="H67" i="3"/>
  <c r="H38" i="3" s="1"/>
  <c r="E67" i="3"/>
  <c r="E38" i="3" s="1"/>
  <c r="G67" i="3"/>
  <c r="G38" i="3" s="1"/>
  <c r="H39" i="3"/>
  <c r="G32" i="3"/>
  <c r="D32" i="3"/>
  <c r="I67" i="3"/>
  <c r="I38" i="3" s="1"/>
  <c r="K67" i="3"/>
  <c r="K38" i="3" s="1"/>
  <c r="D39" i="3"/>
  <c r="J39" i="3"/>
  <c r="M39" i="3"/>
  <c r="D26" i="9" s="1"/>
  <c r="D7" i="11" s="1"/>
  <c r="I32" i="3"/>
  <c r="K36" i="3" l="1"/>
  <c r="E36" i="3"/>
  <c r="G36" i="3"/>
  <c r="I36" i="3"/>
  <c r="F36" i="3"/>
  <c r="H36" i="3"/>
  <c r="F32" i="10"/>
  <c r="F39" i="10"/>
  <c r="F43" i="10" s="1"/>
  <c r="F52" i="10"/>
  <c r="F38" i="10"/>
  <c r="M36" i="3"/>
  <c r="D27" i="9" s="1"/>
  <c r="L36" i="3"/>
  <c r="J36" i="3"/>
  <c r="F17" i="10" l="1"/>
  <c r="F40" i="10"/>
  <c r="G36" i="10" s="1"/>
  <c r="F41" i="10"/>
  <c r="F44" i="10"/>
  <c r="F53" i="10"/>
  <c r="F24" i="10"/>
  <c r="G38" i="10" l="1"/>
  <c r="G42" i="10"/>
  <c r="G37" i="10"/>
  <c r="F65" i="10"/>
  <c r="F45" i="10"/>
  <c r="F46" i="10" l="1"/>
  <c r="F54" i="10" s="1"/>
  <c r="G39" i="10"/>
  <c r="G43" i="10" s="1"/>
  <c r="F67" i="10"/>
  <c r="F72" i="10"/>
  <c r="F66" i="10"/>
  <c r="G17" i="10"/>
  <c r="G24" i="10"/>
  <c r="F58" i="10" l="1"/>
  <c r="F55" i="10"/>
  <c r="G50" i="10" s="1"/>
  <c r="F56" i="10"/>
  <c r="G41" i="10"/>
  <c r="G53" i="10"/>
  <c r="G44" i="10"/>
  <c r="G40" i="10"/>
  <c r="H36" i="10" s="1"/>
  <c r="G52" i="10" l="1"/>
  <c r="G51" i="10"/>
  <c r="G57" i="10"/>
  <c r="H37" i="10"/>
  <c r="H42" i="10"/>
  <c r="H38" i="10"/>
  <c r="F59" i="10"/>
  <c r="F68" i="10"/>
  <c r="G45" i="10"/>
  <c r="G46" i="10" s="1"/>
  <c r="G54" i="10" l="1"/>
  <c r="G56" i="10" s="1"/>
  <c r="H39" i="10"/>
  <c r="H43" i="10" s="1"/>
  <c r="H53" i="10" s="1"/>
  <c r="F60" i="10"/>
  <c r="H17" i="10"/>
  <c r="H24" i="10"/>
  <c r="G58" i="10" l="1"/>
  <c r="G59" i="10" s="1"/>
  <c r="G60" i="10" s="1"/>
  <c r="G61" i="10" s="1"/>
  <c r="H41" i="10"/>
  <c r="H44" i="10"/>
  <c r="H45" i="10" s="1"/>
  <c r="H46" i="10" s="1"/>
  <c r="G55" i="10"/>
  <c r="H50" i="10" s="1"/>
  <c r="H57" i="10" s="1"/>
  <c r="H40" i="10"/>
  <c r="I36" i="10" s="1"/>
  <c r="F61" i="10"/>
  <c r="F69" i="10" s="1"/>
  <c r="H52" i="10" l="1"/>
  <c r="H51" i="10"/>
  <c r="H54" i="10" s="1"/>
  <c r="H58" i="10" s="1"/>
  <c r="H59" i="10" s="1"/>
  <c r="I42" i="10"/>
  <c r="I37" i="10"/>
  <c r="I39" i="10" s="1"/>
  <c r="I43" i="10" s="1"/>
  <c r="I38" i="10"/>
  <c r="F71" i="10"/>
  <c r="F70" i="10"/>
  <c r="G65" i="10" s="1"/>
  <c r="F73" i="10"/>
  <c r="H56" i="10" l="1"/>
  <c r="H55" i="10"/>
  <c r="I50" i="10" s="1"/>
  <c r="I51" i="10" s="1"/>
  <c r="I44" i="10"/>
  <c r="I45" i="10" s="1"/>
  <c r="I46" i="10" s="1"/>
  <c r="I53" i="10"/>
  <c r="I40" i="10"/>
  <c r="J36" i="10" s="1"/>
  <c r="I17" i="10"/>
  <c r="I41" i="10"/>
  <c r="I24" i="10"/>
  <c r="F74" i="10"/>
  <c r="F75" i="10" s="1"/>
  <c r="F76" i="10" s="1"/>
  <c r="F80" i="10" s="1"/>
  <c r="G68" i="10"/>
  <c r="G66" i="10"/>
  <c r="G67" i="10"/>
  <c r="G72" i="10"/>
  <c r="H60" i="10"/>
  <c r="H61" i="10" s="1"/>
  <c r="I52" i="10" l="1"/>
  <c r="I57" i="10"/>
  <c r="I54" i="10"/>
  <c r="I58" i="10" s="1"/>
  <c r="I59" i="10" s="1"/>
  <c r="J38" i="10"/>
  <c r="J42" i="10"/>
  <c r="J37" i="10"/>
  <c r="J39" i="10" s="1"/>
  <c r="J43" i="10" s="1"/>
  <c r="G69" i="10"/>
  <c r="G71" i="10" s="1"/>
  <c r="F81" i="10"/>
  <c r="F82" i="10" s="1"/>
  <c r="F83" i="10" s="1"/>
  <c r="F16" i="10"/>
  <c r="I56" i="10" l="1"/>
  <c r="I55" i="10"/>
  <c r="J50" i="10" s="1"/>
  <c r="J57" i="10" s="1"/>
  <c r="I60" i="10"/>
  <c r="I61" i="10" s="1"/>
  <c r="F23" i="10"/>
  <c r="F26" i="10" s="1"/>
  <c r="G73" i="10"/>
  <c r="G74" i="10" s="1"/>
  <c r="G75" i="10" s="1"/>
  <c r="G76" i="10" s="1"/>
  <c r="G80" i="10" s="1"/>
  <c r="G70" i="10"/>
  <c r="H65" i="10" s="1"/>
  <c r="H72" i="10" s="1"/>
  <c r="J40" i="10"/>
  <c r="K36" i="10" s="1"/>
  <c r="J53" i="10"/>
  <c r="J44" i="10"/>
  <c r="J45" i="10" s="1"/>
  <c r="J46" i="10" s="1"/>
  <c r="J41" i="10"/>
  <c r="J24" i="10"/>
  <c r="J17" i="10"/>
  <c r="F19" i="10"/>
  <c r="H68" i="10" l="1"/>
  <c r="H66" i="10"/>
  <c r="J51" i="10"/>
  <c r="J54" i="10" s="1"/>
  <c r="J58" i="10" s="1"/>
  <c r="J59" i="10" s="1"/>
  <c r="H67" i="10"/>
  <c r="J52" i="10"/>
  <c r="K42" i="10"/>
  <c r="K37" i="10"/>
  <c r="K39" i="10" s="1"/>
  <c r="K43" i="10" s="1"/>
  <c r="K38" i="10"/>
  <c r="G81" i="10"/>
  <c r="G82" i="10" s="1"/>
  <c r="G83" i="10" s="1"/>
  <c r="G16" i="10"/>
  <c r="H69" i="10" l="1"/>
  <c r="H73" i="10" s="1"/>
  <c r="H74" i="10" s="1"/>
  <c r="H75" i="10" s="1"/>
  <c r="H76" i="10" s="1"/>
  <c r="H80" i="10" s="1"/>
  <c r="K40" i="10"/>
  <c r="L36" i="10" s="1"/>
  <c r="L37" i="10" s="1"/>
  <c r="L39" i="10" s="1"/>
  <c r="G23" i="10"/>
  <c r="G26" i="10" s="1"/>
  <c r="J55" i="10"/>
  <c r="K50" i="10" s="1"/>
  <c r="J56" i="10"/>
  <c r="K24" i="10"/>
  <c r="K17" i="10"/>
  <c r="K53" i="10"/>
  <c r="K44" i="10"/>
  <c r="K45" i="10" s="1"/>
  <c r="K46" i="10" s="1"/>
  <c r="K41" i="10"/>
  <c r="J60" i="10"/>
  <c r="J61" i="10" s="1"/>
  <c r="G19" i="10"/>
  <c r="L38" i="10" l="1"/>
  <c r="L17" i="10" s="1"/>
  <c r="H70" i="10"/>
  <c r="I65" i="10" s="1"/>
  <c r="I66" i="10" s="1"/>
  <c r="H71" i="10"/>
  <c r="L42" i="10"/>
  <c r="K57" i="10"/>
  <c r="K52" i="10"/>
  <c r="K51" i="10"/>
  <c r="K54" i="10" s="1"/>
  <c r="L43" i="10"/>
  <c r="H81" i="10"/>
  <c r="H82" i="10" s="1"/>
  <c r="H83" i="10" s="1"/>
  <c r="H16" i="10"/>
  <c r="L40" i="10" l="1"/>
  <c r="M36" i="10" s="1"/>
  <c r="M37" i="10" s="1"/>
  <c r="M39" i="10" s="1"/>
  <c r="M43" i="10" s="1"/>
  <c r="L41" i="10"/>
  <c r="L24" i="10"/>
  <c r="I72" i="10"/>
  <c r="I67" i="10"/>
  <c r="I68" i="10"/>
  <c r="I69" i="10" s="1"/>
  <c r="I73" i="10" s="1"/>
  <c r="I74" i="10" s="1"/>
  <c r="I75" i="10" s="1"/>
  <c r="I76" i="10" s="1"/>
  <c r="I80" i="10" s="1"/>
  <c r="H23" i="10"/>
  <c r="H26" i="10" s="1"/>
  <c r="K56" i="10"/>
  <c r="K58" i="10"/>
  <c r="K59" i="10" s="1"/>
  <c r="K60" i="10" s="1"/>
  <c r="K61" i="10" s="1"/>
  <c r="K55" i="10"/>
  <c r="L50" i="10" s="1"/>
  <c r="L53" i="10"/>
  <c r="L44" i="10"/>
  <c r="L45" i="10" s="1"/>
  <c r="L46" i="10" s="1"/>
  <c r="H19" i="10"/>
  <c r="M42" i="10" l="1"/>
  <c r="M38" i="10"/>
  <c r="M41" i="10" s="1"/>
  <c r="I70" i="10"/>
  <c r="J65" i="10" s="1"/>
  <c r="J68" i="10" s="1"/>
  <c r="I71" i="10"/>
  <c r="L51" i="10"/>
  <c r="L54" i="10" s="1"/>
  <c r="L58" i="10" s="1"/>
  <c r="L59" i="10" s="1"/>
  <c r="L57" i="10"/>
  <c r="L52" i="10"/>
  <c r="M53" i="10"/>
  <c r="M44" i="10"/>
  <c r="M45" i="10" s="1"/>
  <c r="M46" i="10" s="1"/>
  <c r="I81" i="10"/>
  <c r="I82" i="10" s="1"/>
  <c r="I83" i="10" s="1"/>
  <c r="I16" i="10"/>
  <c r="M24" i="10" l="1"/>
  <c r="M40" i="10"/>
  <c r="N36" i="10" s="1"/>
  <c r="N38" i="10" s="1"/>
  <c r="M17" i="10"/>
  <c r="J66" i="10"/>
  <c r="J69" i="10" s="1"/>
  <c r="J73" i="10" s="1"/>
  <c r="J67" i="10"/>
  <c r="J72" i="10"/>
  <c r="L56" i="10"/>
  <c r="I23" i="10"/>
  <c r="I26" i="10" s="1"/>
  <c r="L55" i="10"/>
  <c r="M50" i="10" s="1"/>
  <c r="N42" i="10"/>
  <c r="I19" i="10"/>
  <c r="L60" i="10"/>
  <c r="L61" i="10" s="1"/>
  <c r="N37" i="10" l="1"/>
  <c r="N39" i="10" s="1"/>
  <c r="N43" i="10" s="1"/>
  <c r="N53" i="10" s="1"/>
  <c r="J71" i="10"/>
  <c r="J70" i="10"/>
  <c r="K65" i="10" s="1"/>
  <c r="K67" i="10" s="1"/>
  <c r="M51" i="10"/>
  <c r="M54" i="10" s="1"/>
  <c r="M52" i="10"/>
  <c r="M57" i="10"/>
  <c r="N17" i="10"/>
  <c r="N24" i="10"/>
  <c r="J74" i="10"/>
  <c r="N44" i="10" l="1"/>
  <c r="N45" i="10" s="1"/>
  <c r="N46" i="10" s="1"/>
  <c r="N40" i="10"/>
  <c r="O36" i="10" s="1"/>
  <c r="O42" i="10" s="1"/>
  <c r="N41" i="10"/>
  <c r="K66" i="10"/>
  <c r="K68" i="10"/>
  <c r="K72" i="10"/>
  <c r="M56" i="10"/>
  <c r="M58" i="10"/>
  <c r="M59" i="10" s="1"/>
  <c r="M60" i="10" s="1"/>
  <c r="M61" i="10" s="1"/>
  <c r="M55" i="10"/>
  <c r="N50" i="10" s="1"/>
  <c r="J75" i="10"/>
  <c r="J76" i="10" s="1"/>
  <c r="J80" i="10" s="1"/>
  <c r="O38" i="10" l="1"/>
  <c r="O24" i="10" s="1"/>
  <c r="O37" i="10"/>
  <c r="O39" i="10" s="1"/>
  <c r="O43" i="10" s="1"/>
  <c r="O53" i="10" s="1"/>
  <c r="K69" i="10"/>
  <c r="K73" i="10" s="1"/>
  <c r="K74" i="10" s="1"/>
  <c r="K75" i="10" s="1"/>
  <c r="K76" i="10" s="1"/>
  <c r="K80" i="10" s="1"/>
  <c r="N52" i="10"/>
  <c r="N51" i="10"/>
  <c r="N54" i="10" s="1"/>
  <c r="N58" i="10" s="1"/>
  <c r="N57" i="10"/>
  <c r="J81" i="10"/>
  <c r="J23" i="10" s="1"/>
  <c r="J16" i="10"/>
  <c r="O17" i="10" l="1"/>
  <c r="O44" i="10"/>
  <c r="O45" i="10" s="1"/>
  <c r="O46" i="10" s="1"/>
  <c r="O40" i="10"/>
  <c r="P36" i="10" s="1"/>
  <c r="P38" i="10" s="1"/>
  <c r="O41" i="10"/>
  <c r="K71" i="10"/>
  <c r="K70" i="10"/>
  <c r="L65" i="10" s="1"/>
  <c r="L66" i="10" s="1"/>
  <c r="N56" i="10"/>
  <c r="N59" i="10"/>
  <c r="N60" i="10" s="1"/>
  <c r="N61" i="10" s="1"/>
  <c r="J82" i="10"/>
  <c r="J83" i="10" s="1"/>
  <c r="N55" i="10"/>
  <c r="O50" i="10" s="1"/>
  <c r="K81" i="10"/>
  <c r="K23" i="10" s="1"/>
  <c r="K26" i="10" s="1"/>
  <c r="K16" i="10"/>
  <c r="K19" i="10" s="1"/>
  <c r="J19" i="10"/>
  <c r="J26" i="10"/>
  <c r="P42" i="10" l="1"/>
  <c r="P37" i="10"/>
  <c r="P39" i="10" s="1"/>
  <c r="P43" i="10" s="1"/>
  <c r="P53" i="10" s="1"/>
  <c r="L72" i="10"/>
  <c r="L67" i="10"/>
  <c r="L68" i="10"/>
  <c r="L69" i="10" s="1"/>
  <c r="L73" i="10" s="1"/>
  <c r="L74" i="10" s="1"/>
  <c r="L75" i="10" s="1"/>
  <c r="L76" i="10" s="1"/>
  <c r="L80" i="10" s="1"/>
  <c r="O57" i="10"/>
  <c r="O52" i="10"/>
  <c r="O51" i="10"/>
  <c r="P17" i="10"/>
  <c r="D17" i="10" s="1"/>
  <c r="F35" i="9" s="1"/>
  <c r="P24" i="10"/>
  <c r="D24" i="10" s="1"/>
  <c r="D35" i="9" s="1"/>
  <c r="K82" i="10"/>
  <c r="K83" i="10" s="1"/>
  <c r="P40" i="10" l="1"/>
  <c r="P44" i="10"/>
  <c r="P45" i="10" s="1"/>
  <c r="P46" i="10" s="1"/>
  <c r="P41" i="10"/>
  <c r="E41" i="10" s="1"/>
  <c r="L70" i="10"/>
  <c r="M65" i="10" s="1"/>
  <c r="M68" i="10" s="1"/>
  <c r="L71" i="10"/>
  <c r="O54" i="10"/>
  <c r="O58" i="10" s="1"/>
  <c r="O59" i="10" s="1"/>
  <c r="O60" i="10" s="1"/>
  <c r="O61" i="10" s="1"/>
  <c r="L81" i="10"/>
  <c r="L23" i="10" s="1"/>
  <c r="L26" i="10" s="1"/>
  <c r="L16" i="10"/>
  <c r="L19" i="10" s="1"/>
  <c r="M67" i="10" l="1"/>
  <c r="M72" i="10"/>
  <c r="M66" i="10"/>
  <c r="M69" i="10" s="1"/>
  <c r="M73" i="10" s="1"/>
  <c r="M74" i="10" s="1"/>
  <c r="O55" i="10"/>
  <c r="P50" i="10" s="1"/>
  <c r="L82" i="10"/>
  <c r="L83" i="10" s="1"/>
  <c r="O56" i="10"/>
  <c r="M70" i="10" l="1"/>
  <c r="N65" i="10" s="1"/>
  <c r="N67" i="10" s="1"/>
  <c r="M75" i="10"/>
  <c r="M76" i="10" s="1"/>
  <c r="M80" i="10" s="1"/>
  <c r="M81" i="10" s="1"/>
  <c r="M23" i="10" s="1"/>
  <c r="M26" i="10" s="1"/>
  <c r="M71" i="10"/>
  <c r="P52" i="10"/>
  <c r="P51" i="10"/>
  <c r="P54" i="10" s="1"/>
  <c r="P58" i="10" s="1"/>
  <c r="P59" i="10" s="1"/>
  <c r="P60" i="10" s="1"/>
  <c r="P61" i="10" s="1"/>
  <c r="P57" i="10"/>
  <c r="N68" i="10" l="1"/>
  <c r="N72" i="10"/>
  <c r="N66" i="10"/>
  <c r="M16" i="10"/>
  <c r="M19" i="10" s="1"/>
  <c r="P55" i="10"/>
  <c r="P56" i="10"/>
  <c r="E56" i="10" s="1"/>
  <c r="M82" i="10"/>
  <c r="M83" i="10" s="1"/>
  <c r="N69" i="10" l="1"/>
  <c r="N73" i="10" s="1"/>
  <c r="N74" i="10" s="1"/>
  <c r="N75" i="10" s="1"/>
  <c r="N76" i="10" s="1"/>
  <c r="N80" i="10" s="1"/>
  <c r="N81" i="10" s="1"/>
  <c r="N82" i="10" s="1"/>
  <c r="N83" i="10" s="1"/>
  <c r="N70" i="10" l="1"/>
  <c r="O65" i="10" s="1"/>
  <c r="O68" i="10" s="1"/>
  <c r="N71" i="10"/>
  <c r="N23" i="10"/>
  <c r="N26" i="10" s="1"/>
  <c r="N16" i="10"/>
  <c r="N19" i="10" s="1"/>
  <c r="O67" i="10" l="1"/>
  <c r="O66" i="10"/>
  <c r="O69" i="10" s="1"/>
  <c r="O73" i="10" s="1"/>
  <c r="O74" i="10" s="1"/>
  <c r="O72" i="10"/>
  <c r="O71" i="10" l="1"/>
  <c r="O70" i="10"/>
  <c r="P65" i="10" s="1"/>
  <c r="P67" i="10" s="1"/>
  <c r="O75" i="10"/>
  <c r="O76" i="10" s="1"/>
  <c r="O80" i="10" s="1"/>
  <c r="P66" i="10" l="1"/>
  <c r="P72" i="10"/>
  <c r="P68" i="10"/>
  <c r="O81" i="10"/>
  <c r="O16" i="10"/>
  <c r="O19" i="10" s="1"/>
  <c r="P69" i="10" l="1"/>
  <c r="P71" i="10" s="1"/>
  <c r="E71" i="10" s="1"/>
  <c r="O82" i="10"/>
  <c r="O83" i="10" s="1"/>
  <c r="O23" i="10"/>
  <c r="O26" i="10" s="1"/>
  <c r="P73" i="10" l="1"/>
  <c r="P74" i="10" s="1"/>
  <c r="P75" i="10" s="1"/>
  <c r="P76" i="10" s="1"/>
  <c r="P80" i="10" s="1"/>
  <c r="P70" i="10"/>
  <c r="P81" i="10" l="1"/>
  <c r="P16" i="10"/>
  <c r="P19" i="10" l="1"/>
  <c r="D19" i="10" s="1"/>
  <c r="F33" i="9" s="1"/>
  <c r="D16" i="10"/>
  <c r="P82" i="10"/>
  <c r="P83" i="10" s="1"/>
  <c r="P23" i="10"/>
  <c r="D23" i="10" l="1"/>
  <c r="P26" i="10"/>
  <c r="D26" i="10" s="1"/>
  <c r="D33" i="9" s="1"/>
  <c r="D18" i="10"/>
  <c r="F36" i="9" s="1"/>
  <c r="D20" i="10"/>
  <c r="F37" i="9" s="1"/>
  <c r="F34" i="9"/>
  <c r="D34" i="9" l="1"/>
  <c r="D27" i="10"/>
  <c r="D37" i="9" s="1"/>
  <c r="D25" i="10"/>
  <c r="D36" i="9" s="1"/>
  <c r="F5" i="1"/>
</calcChain>
</file>

<file path=xl/comments1.xml><?xml version="1.0" encoding="utf-8"?>
<comments xmlns="http://schemas.openxmlformats.org/spreadsheetml/2006/main">
  <authors>
    <author>burton</author>
  </authors>
  <commentList>
    <comment ref="H4" authorId="0" shapeId="0">
      <text>
        <r>
          <rPr>
            <b/>
            <sz val="9"/>
            <color indexed="81"/>
            <rFont val="Tahoma"/>
            <family val="2"/>
          </rPr>
          <t>burton:</t>
        </r>
        <r>
          <rPr>
            <sz val="9"/>
            <color indexed="81"/>
            <rFont val="Tahoma"/>
            <family val="2"/>
          </rPr>
          <t xml:space="preserve">
Exclusing Lease-up and ARGUS included year one CapEx.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burton:</t>
        </r>
        <r>
          <rPr>
            <sz val="9"/>
            <color indexed="81"/>
            <rFont val="Tahoma"/>
            <family val="2"/>
          </rPr>
          <t xml:space="preserve">
Must start on first day of month.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burton:</t>
        </r>
        <r>
          <rPr>
            <sz val="9"/>
            <color indexed="81"/>
            <rFont val="Tahoma"/>
            <family val="2"/>
          </rPr>
          <t xml:space="preserve">
Minimum 1 year
Maximum 15 years</t>
        </r>
      </text>
    </comment>
  </commentList>
</comments>
</file>

<file path=xl/comments2.xml><?xml version="1.0" encoding="utf-8"?>
<comments xmlns="http://schemas.openxmlformats.org/spreadsheetml/2006/main">
  <authors>
    <author>burton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burton:</t>
        </r>
        <r>
          <rPr>
            <sz val="9"/>
            <color indexed="81"/>
            <rFont val="Tahoma"/>
            <family val="2"/>
          </rPr>
          <t xml:space="preserve">
Use formula Year 1 NOI ÷ Cap Rate UNLESS using broker guidance price.</t>
        </r>
      </text>
    </comment>
    <comment ref="S4" authorId="0" shapeId="0">
      <text>
        <r>
          <rPr>
            <b/>
            <sz val="9"/>
            <color indexed="81"/>
            <rFont val="Tahoma"/>
            <family val="2"/>
          </rPr>
          <t>burton:</t>
        </r>
        <r>
          <rPr>
            <sz val="9"/>
            <color indexed="81"/>
            <rFont val="Tahoma"/>
            <family val="2"/>
          </rPr>
          <t xml:space="preserve">
As a % of price.</t>
        </r>
      </text>
    </comment>
    <comment ref="W4" authorId="0" shapeId="0">
      <text>
        <r>
          <rPr>
            <b/>
            <sz val="9"/>
            <color indexed="81"/>
            <rFont val="Tahoma"/>
            <family val="2"/>
          </rPr>
          <t>burton:</t>
        </r>
        <r>
          <rPr>
            <sz val="9"/>
            <color indexed="81"/>
            <rFont val="Tahoma"/>
            <family val="2"/>
          </rPr>
          <t xml:space="preserve">
% of Loan Amount</t>
        </r>
      </text>
    </comment>
  </commentList>
</comments>
</file>

<file path=xl/sharedStrings.xml><?xml version="1.0" encoding="utf-8"?>
<sst xmlns="http://schemas.openxmlformats.org/spreadsheetml/2006/main" count="250" uniqueCount="186">
  <si>
    <t>#</t>
  </si>
  <si>
    <t>Property Name</t>
  </si>
  <si>
    <t>NRA</t>
  </si>
  <si>
    <t>City, State</t>
  </si>
  <si>
    <t>Occ. %</t>
  </si>
  <si>
    <t>Property Assumptions</t>
  </si>
  <si>
    <t>Price</t>
  </si>
  <si>
    <t>Cap Rate</t>
  </si>
  <si>
    <t>PSF</t>
  </si>
  <si>
    <t>Property Valuation</t>
  </si>
  <si>
    <t>Interest Rate</t>
  </si>
  <si>
    <t>Years I/O</t>
  </si>
  <si>
    <t>Amo Period</t>
  </si>
  <si>
    <t>Term</t>
  </si>
  <si>
    <t>LTV</t>
  </si>
  <si>
    <t>Financing Assumptions</t>
  </si>
  <si>
    <t>Analysis Start</t>
  </si>
  <si>
    <t>Analysis Period</t>
  </si>
  <si>
    <t>Year Ending</t>
  </si>
  <si>
    <t>-</t>
  </si>
  <si>
    <t>.</t>
  </si>
  <si>
    <t>Operating Expenses</t>
  </si>
  <si>
    <t>Net Operating Income</t>
  </si>
  <si>
    <t>Cap Rate at Sale</t>
  </si>
  <si>
    <t>Net Sales Price</t>
  </si>
  <si>
    <t>Net Sales Price PSF</t>
  </si>
  <si>
    <t>Free and Clear Return</t>
  </si>
  <si>
    <t>Avg. Free and Clear Return</t>
  </si>
  <si>
    <t>Loan Amount</t>
  </si>
  <si>
    <t>Unlevered Cash Flow</t>
  </si>
  <si>
    <t>Unlevered Internal Rate of Return</t>
  </si>
  <si>
    <t>Portion of IRR from Income</t>
  </si>
  <si>
    <t>Portion of IRR from Sale</t>
  </si>
  <si>
    <t>Debt Service</t>
  </si>
  <si>
    <t>Levered Cash Flow</t>
  </si>
  <si>
    <t>Avg. Cash-on-Cash Return</t>
  </si>
  <si>
    <t>Cash-on-Cash Return</t>
  </si>
  <si>
    <t>Levered Internal Rate of Return</t>
  </si>
  <si>
    <t>Unlevered Equity Multiple</t>
  </si>
  <si>
    <t>Levered Equity Multiple</t>
  </si>
  <si>
    <t>Loan Balance</t>
  </si>
  <si>
    <t>Permanent Financing</t>
  </si>
  <si>
    <t>Amo Payment</t>
  </si>
  <si>
    <t>I/O Payment</t>
  </si>
  <si>
    <t>Initial Loan Balance</t>
  </si>
  <si>
    <t>Upfront CapEx</t>
  </si>
  <si>
    <t>Net Cash on Sale</t>
  </si>
  <si>
    <t>Unlevered</t>
  </si>
  <si>
    <t>Year</t>
  </si>
  <si>
    <t>IRR</t>
  </si>
  <si>
    <t>Levered</t>
  </si>
  <si>
    <t>Internal Rate of Return Calculation (Hide/Unhide)</t>
  </si>
  <si>
    <t>Property Level Returns</t>
  </si>
  <si>
    <t>Unlevered All-In Basis</t>
  </si>
  <si>
    <t>Net Gain</t>
  </si>
  <si>
    <t>Discount Rate</t>
  </si>
  <si>
    <t>Unlevered CF w/Residual</t>
  </si>
  <si>
    <t>Replacement Cost (PSF)</t>
  </si>
  <si>
    <t>Unlevered IRR</t>
  </si>
  <si>
    <t>Levered IRR</t>
  </si>
  <si>
    <t>Min. DSCR</t>
  </si>
  <si>
    <t>Min. Debt Yield</t>
  </si>
  <si>
    <t>Purchase Price</t>
  </si>
  <si>
    <t>Replacement Cost</t>
  </si>
  <si>
    <t>Market Cap Rate Yr. 1</t>
  </si>
  <si>
    <t>Exit Cap Rate Growth/Yr</t>
  </si>
  <si>
    <t>Exit Cap Year</t>
  </si>
  <si>
    <t>Net Rentable Area</t>
  </si>
  <si>
    <t>All-in-Basis</t>
  </si>
  <si>
    <t>Price PSF</t>
  </si>
  <si>
    <t>Year 1 NOI</t>
  </si>
  <si>
    <t>Year 3 NOI</t>
  </si>
  <si>
    <t>Purchase Price Method</t>
  </si>
  <si>
    <t>DCF Value</t>
  </si>
  <si>
    <t>Set Purchase Price</t>
  </si>
  <si>
    <t>Going-In Cap Rate</t>
  </si>
  <si>
    <t>Equity Required</t>
  </si>
  <si>
    <t>Acquisition Cost</t>
  </si>
  <si>
    <t>Amo. Period</t>
  </si>
  <si>
    <t>Lender Fees (%)</t>
  </si>
  <si>
    <t>Lender Fees ($)</t>
  </si>
  <si>
    <t>Equity Req'd</t>
  </si>
  <si>
    <t>Acquisition Cost %</t>
  </si>
  <si>
    <t>Lender Fees %</t>
  </si>
  <si>
    <t>Property Metrics</t>
  </si>
  <si>
    <t>Investor Level Returns - Promote Waterfall</t>
  </si>
  <si>
    <t>Capitalization</t>
  </si>
  <si>
    <t>LP Investors</t>
  </si>
  <si>
    <t>Sponsor</t>
  </si>
  <si>
    <t>Investor Returns</t>
  </si>
  <si>
    <t>Total Distributions</t>
  </si>
  <si>
    <t>Total Contributions</t>
  </si>
  <si>
    <t>Total Profit</t>
  </si>
  <si>
    <t>Equity Multiple</t>
  </si>
  <si>
    <t>Promote Structure</t>
  </si>
  <si>
    <t>Hurdle 1</t>
  </si>
  <si>
    <t>Hurdle 2</t>
  </si>
  <si>
    <t>Hurdle 3</t>
  </si>
  <si>
    <t>Hurdle 4</t>
  </si>
  <si>
    <t>LP Share</t>
  </si>
  <si>
    <t>Sponsor Promote</t>
  </si>
  <si>
    <t>Sponsor %</t>
  </si>
  <si>
    <t>LP %</t>
  </si>
  <si>
    <t>%</t>
  </si>
  <si>
    <t>Amount</t>
  </si>
  <si>
    <t>Levered Before Tax Cash Flow</t>
  </si>
  <si>
    <t>Year 0</t>
  </si>
  <si>
    <t>LP Req'd Return</t>
  </si>
  <si>
    <t>Hurdle 1 (Preferred Return)</t>
  </si>
  <si>
    <t>Beginning Balance (LP Capital Account)</t>
  </si>
  <si>
    <t>Req'd Return by LP (Pref)</t>
  </si>
  <si>
    <t>Ending Balance (LP Capital Account)</t>
  </si>
  <si>
    <t>Contributions from LP</t>
  </si>
  <si>
    <t>Distribution to Sponsor</t>
  </si>
  <si>
    <t>Distribution to LP</t>
  </si>
  <si>
    <t>Cash Flow Remaining</t>
  </si>
  <si>
    <t>Distributions to LP (Hurdle 1)</t>
  </si>
  <si>
    <t>Prior Distributions</t>
  </si>
  <si>
    <t>Net Cash Flow For Distribution</t>
  </si>
  <si>
    <t>Summary of Investor Level Returns</t>
  </si>
  <si>
    <t>Total LP Distributions</t>
  </si>
  <si>
    <t>Total Sponsor Distributions</t>
  </si>
  <si>
    <t>LP IRR</t>
  </si>
  <si>
    <t>Total LP Contributions</t>
  </si>
  <si>
    <t>Total LP Profit</t>
  </si>
  <si>
    <t>LP Equity Multiple</t>
  </si>
  <si>
    <t>Sponsor Returns</t>
  </si>
  <si>
    <t>Limited Partner (LP) Returns</t>
  </si>
  <si>
    <t>Total Sponsor Contributions</t>
  </si>
  <si>
    <t>Total Sponsor Profit</t>
  </si>
  <si>
    <t>Sponsor IRR</t>
  </si>
  <si>
    <t>Sponsor Equity Multiple</t>
  </si>
  <si>
    <t>N/A</t>
  </si>
  <si>
    <t>Limited Partner(s)</t>
  </si>
  <si>
    <t>Floating Summary Box</t>
  </si>
  <si>
    <t>Property Return Metrics</t>
  </si>
  <si>
    <t>Property Risk Metrics</t>
  </si>
  <si>
    <t>Property Summary</t>
  </si>
  <si>
    <t>Terminal Cap Rate</t>
  </si>
  <si>
    <t>Terminal Value</t>
  </si>
  <si>
    <t>Occupancy</t>
  </si>
  <si>
    <t>Growth Rate</t>
  </si>
  <si>
    <t>Stabilized</t>
  </si>
  <si>
    <t>+ Recovery Income</t>
  </si>
  <si>
    <t>+ Other Income</t>
  </si>
  <si>
    <t>Potential Gross Income</t>
  </si>
  <si>
    <t>- Rent Abatement</t>
  </si>
  <si>
    <t>- Vacancy</t>
  </si>
  <si>
    <t>+ Base Rent</t>
  </si>
  <si>
    <t>Effective Gross Revenue</t>
  </si>
  <si>
    <t>- Marketing</t>
  </si>
  <si>
    <t>- Administrative</t>
  </si>
  <si>
    <t>- Utilities</t>
  </si>
  <si>
    <t>- Payroll</t>
  </si>
  <si>
    <t xml:space="preserve"> -Repair and maintenance</t>
  </si>
  <si>
    <t xml:space="preserve"> -Insurance</t>
  </si>
  <si>
    <t xml:space="preserve"> -Taxes</t>
  </si>
  <si>
    <t>- Mgmt (% of EGR)</t>
  </si>
  <si>
    <t>- Tenant Improvements</t>
  </si>
  <si>
    <t>- Leasing Commissions</t>
  </si>
  <si>
    <t>- Capital Reserves</t>
  </si>
  <si>
    <t>- Misc. CapEx</t>
  </si>
  <si>
    <t>Capital Expenditures</t>
  </si>
  <si>
    <t>Cash Flow From Operations</t>
  </si>
  <si>
    <t>+/- Adjustment</t>
  </si>
  <si>
    <t>The Overly Simplified DCF</t>
  </si>
  <si>
    <t>Author: Spencer Burton</t>
  </si>
  <si>
    <t>For more information vist:</t>
  </si>
  <si>
    <t>www.spencerburton.org</t>
  </si>
  <si>
    <t>www.adventuresincre.com</t>
  </si>
  <si>
    <t>Real Estate Acquisition Model</t>
  </si>
  <si>
    <t>Property Types:</t>
  </si>
  <si>
    <t>Office</t>
  </si>
  <si>
    <t>Retail</t>
  </si>
  <si>
    <t>Industrial</t>
  </si>
  <si>
    <t>Hiland Office</t>
  </si>
  <si>
    <t>Hiland, WI</t>
  </si>
  <si>
    <t>Min. DSCR (NOI)</t>
  </si>
  <si>
    <t>Min. Debt Yield (NOI)</t>
  </si>
  <si>
    <t>Debt Coverage Ratio (NOI)</t>
  </si>
  <si>
    <t>Debt Yield (NOI)</t>
  </si>
  <si>
    <t>Version notes (1.2 to 1.3)</t>
  </si>
  <si>
    <t>- Corrected error in loan balance calculation on Debt tab</t>
  </si>
  <si>
    <t>Version 1.3</t>
  </si>
  <si>
    <t>- Minor edits to instructions</t>
  </si>
  <si>
    <t>- Minor formatting fixes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</si>
</sst>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164" formatCode="0.0%"/>
    <numFmt numFmtId="165" formatCode="#,000\ &quot;sf&quot;"/>
    <numFmt numFmtId="166" formatCode="0\ &quot;years&quot;"/>
    <numFmt numFmtId="167" formatCode="[$-409]d\-mmm\-yy;@"/>
    <numFmt numFmtId="168" formatCode="&quot;Year&quot;\ 0"/>
    <numFmt numFmtId="169" formatCode="0\ &quot;bps&quot;"/>
    <numFmt numFmtId="170" formatCode="0.00&quot;x&quot;"/>
    <numFmt numFmtId="171" formatCode="0.0\ &quot;years&quot;"/>
    <numFmt numFmtId="172" formatCode="0.00\ &quot;years&quot;"/>
    <numFmt numFmtId="173" formatCode="&quot;&gt;&quot;\ 0.0%\ \I\R\R&quot; to LP&quot;"/>
    <numFmt numFmtId="174" formatCode="&quot; up to &quot;0.0%\ \I\R\R&quot; to LP&quot;"/>
    <numFmt numFmtId="175" formatCode="&quot; Up to &quot;0.0%\ \I\R\R&quot; to LP&quot;"/>
    <numFmt numFmtId="176" formatCode="&quot;LP Check -&quot;\ 0.0%\ &quot;IRR&quot;"/>
    <numFmt numFmtId="177" formatCode="0.00&quot;X&quot;"/>
    <numFmt numFmtId="178" formatCode="#,##0\ &quot;SF&quot;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Arial"/>
      <family val="2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2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theme="9"/>
      </left>
      <right/>
      <top style="thick">
        <color theme="9"/>
      </top>
      <bottom/>
      <diagonal/>
    </border>
    <border>
      <left/>
      <right/>
      <top style="thick">
        <color theme="9"/>
      </top>
      <bottom/>
      <diagonal/>
    </border>
    <border>
      <left/>
      <right style="thick">
        <color theme="9"/>
      </right>
      <top style="thick">
        <color theme="9"/>
      </top>
      <bottom/>
      <diagonal/>
    </border>
    <border>
      <left style="thick">
        <color theme="9"/>
      </left>
      <right/>
      <top/>
      <bottom/>
      <diagonal/>
    </border>
    <border>
      <left/>
      <right style="thick">
        <color theme="9"/>
      </right>
      <top/>
      <bottom/>
      <diagonal/>
    </border>
    <border>
      <left style="thick">
        <color theme="9"/>
      </left>
      <right/>
      <top/>
      <bottom style="thick">
        <color theme="9"/>
      </bottom>
      <diagonal/>
    </border>
    <border>
      <left/>
      <right/>
      <top/>
      <bottom style="thick">
        <color theme="9"/>
      </bottom>
      <diagonal/>
    </border>
    <border>
      <left/>
      <right style="thick">
        <color theme="9"/>
      </right>
      <top/>
      <bottom style="thick">
        <color theme="9"/>
      </bottom>
      <diagonal/>
    </border>
  </borders>
  <cellStyleXfs count="3">
    <xf numFmtId="0" fontId="0" fillId="0" borderId="0"/>
    <xf numFmtId="0" fontId="12" fillId="0" borderId="0"/>
    <xf numFmtId="0" fontId="17" fillId="0" borderId="0" applyNumberFormat="0" applyFill="0" applyBorder="0" applyAlignment="0" applyProtection="0"/>
  </cellStyleXfs>
  <cellXfs count="197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Border="1"/>
    <xf numFmtId="0" fontId="0" fillId="2" borderId="0" xfId="0" applyFill="1" applyBorder="1"/>
    <xf numFmtId="0" fontId="0" fillId="2" borderId="0" xfId="0" applyFill="1"/>
    <xf numFmtId="0" fontId="3" fillId="2" borderId="0" xfId="0" applyFont="1" applyFill="1" applyBorder="1"/>
    <xf numFmtId="0" fontId="8" fillId="0" borderId="0" xfId="0" applyFont="1"/>
    <xf numFmtId="6" fontId="0" fillId="0" borderId="0" xfId="0" applyNumberFormat="1"/>
    <xf numFmtId="0" fontId="1" fillId="4" borderId="4" xfId="0" applyFont="1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 applyAlignment="1">
      <alignment horizontal="left" indent="1"/>
    </xf>
    <xf numFmtId="0" fontId="0" fillId="4" borderId="0" xfId="0" applyFill="1" applyBorder="1"/>
    <xf numFmtId="10" fontId="0" fillId="4" borderId="8" xfId="0" applyNumberFormat="1" applyFill="1" applyBorder="1"/>
    <xf numFmtId="177" fontId="0" fillId="4" borderId="8" xfId="0" applyNumberFormat="1" applyFill="1" applyBorder="1"/>
    <xf numFmtId="0" fontId="0" fillId="4" borderId="7" xfId="0" applyFill="1" applyBorder="1"/>
    <xf numFmtId="0" fontId="0" fillId="4" borderId="8" xfId="0" applyFill="1" applyBorder="1"/>
    <xf numFmtId="0" fontId="1" fillId="4" borderId="7" xfId="0" applyFont="1" applyFill="1" applyBorder="1"/>
    <xf numFmtId="0" fontId="0" fillId="4" borderId="9" xfId="0" applyFill="1" applyBorder="1" applyAlignment="1">
      <alignment horizontal="left" indent="1"/>
    </xf>
    <xf numFmtId="0" fontId="0" fillId="4" borderId="10" xfId="0" applyFill="1" applyBorder="1"/>
    <xf numFmtId="164" fontId="0" fillId="4" borderId="11" xfId="0" applyNumberFormat="1" applyFill="1" applyBorder="1"/>
    <xf numFmtId="0" fontId="0" fillId="0" borderId="1" xfId="0" applyBorder="1"/>
    <xf numFmtId="0" fontId="1" fillId="2" borderId="0" xfId="0" applyFont="1" applyFill="1" applyBorder="1" applyAlignment="1">
      <alignment horizontal="center" wrapText="1"/>
    </xf>
    <xf numFmtId="0" fontId="0" fillId="2" borderId="2" xfId="0" applyFill="1" applyBorder="1"/>
    <xf numFmtId="6" fontId="2" fillId="2" borderId="2" xfId="0" applyNumberFormat="1" applyFont="1" applyFill="1" applyBorder="1"/>
    <xf numFmtId="10" fontId="8" fillId="2" borderId="0" xfId="0" applyNumberFormat="1" applyFont="1" applyFill="1" applyBorder="1"/>
    <xf numFmtId="8" fontId="0" fillId="2" borderId="0" xfId="0" applyNumberFormat="1" applyFill="1" applyBorder="1"/>
    <xf numFmtId="6" fontId="0" fillId="2" borderId="0" xfId="0" applyNumberFormat="1" applyFill="1" applyBorder="1"/>
    <xf numFmtId="8" fontId="8" fillId="2" borderId="0" xfId="0" applyNumberFormat="1" applyFont="1" applyFill="1" applyBorder="1"/>
    <xf numFmtId="6" fontId="8" fillId="2" borderId="0" xfId="0" applyNumberFormat="1" applyFont="1" applyFill="1" applyBorder="1"/>
    <xf numFmtId="0" fontId="8" fillId="2" borderId="0" xfId="0" applyFont="1" applyFill="1" applyBorder="1"/>
    <xf numFmtId="178" fontId="0" fillId="2" borderId="0" xfId="0" applyNumberFormat="1" applyFill="1"/>
    <xf numFmtId="0" fontId="1" fillId="2" borderId="3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center" wrapText="1"/>
    </xf>
    <xf numFmtId="164" fontId="8" fillId="2" borderId="1" xfId="0" applyNumberFormat="1" applyFont="1" applyFill="1" applyBorder="1"/>
    <xf numFmtId="10" fontId="8" fillId="2" borderId="1" xfId="0" applyNumberFormat="1" applyFont="1" applyFill="1" applyBorder="1"/>
    <xf numFmtId="166" fontId="8" fillId="2" borderId="0" xfId="0" applyNumberFormat="1" applyFont="1" applyFill="1" applyBorder="1"/>
    <xf numFmtId="10" fontId="8" fillId="2" borderId="2" xfId="0" applyNumberFormat="1" applyFont="1" applyFill="1" applyBorder="1"/>
    <xf numFmtId="0" fontId="3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68" fontId="0" fillId="2" borderId="0" xfId="0" applyNumberFormat="1" applyFill="1" applyAlignment="1" applyProtection="1">
      <alignment horizontal="center"/>
      <protection locked="0"/>
    </xf>
    <xf numFmtId="168" fontId="0" fillId="0" borderId="0" xfId="0" applyNumberForma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167" fontId="0" fillId="2" borderId="0" xfId="0" applyNumberForma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right" indent="1"/>
      <protection locked="0"/>
    </xf>
    <xf numFmtId="0" fontId="1" fillId="2" borderId="0" xfId="0" applyFont="1" applyFill="1" applyAlignment="1" applyProtection="1">
      <alignment horizontal="left" indent="1"/>
      <protection locked="0"/>
    </xf>
    <xf numFmtId="38" fontId="0" fillId="2" borderId="0" xfId="0" applyNumberFormat="1" applyFill="1" applyAlignment="1" applyProtection="1">
      <alignment horizontal="left" indent="1"/>
      <protection locked="0"/>
    </xf>
    <xf numFmtId="0" fontId="0" fillId="2" borderId="0" xfId="0" applyFill="1" applyAlignment="1" applyProtection="1">
      <alignment horizontal="left" indent="1"/>
      <protection locked="0"/>
    </xf>
    <xf numFmtId="0" fontId="8" fillId="2" borderId="0" xfId="0" applyFont="1" applyFill="1" applyAlignment="1" applyProtection="1">
      <alignment horizontal="left" indent="1"/>
      <protection locked="0"/>
    </xf>
    <xf numFmtId="38" fontId="0" fillId="2" borderId="0" xfId="0" applyNumberFormat="1" applyFill="1" applyProtection="1">
      <protection locked="0"/>
    </xf>
    <xf numFmtId="0" fontId="0" fillId="0" borderId="0" xfId="0" applyProtection="1">
      <protection locked="0"/>
    </xf>
    <xf numFmtId="168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167" fontId="0" fillId="0" borderId="0" xfId="0" applyNumberFormat="1" applyFill="1" applyAlignment="1" applyProtection="1">
      <alignment horizontal="center"/>
      <protection locked="0"/>
    </xf>
    <xf numFmtId="0" fontId="0" fillId="2" borderId="0" xfId="0" applyFill="1" applyAlignment="1" applyProtection="1">
      <protection locked="0"/>
    </xf>
    <xf numFmtId="38" fontId="0" fillId="2" borderId="0" xfId="0" applyNumberFormat="1" applyFill="1" applyAlignment="1" applyProtection="1">
      <alignment horizontal="center"/>
      <protection locked="0"/>
    </xf>
    <xf numFmtId="37" fontId="0" fillId="2" borderId="0" xfId="0" applyNumberFormat="1" applyFill="1" applyAlignment="1" applyProtection="1">
      <alignment horizontal="center"/>
      <protection locked="0"/>
    </xf>
    <xf numFmtId="0" fontId="8" fillId="2" borderId="0" xfId="0" applyFont="1" applyFill="1" applyProtection="1">
      <protection locked="0"/>
    </xf>
    <xf numFmtId="38" fontId="2" fillId="2" borderId="0" xfId="0" applyNumberFormat="1" applyFont="1" applyFill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10" fontId="8" fillId="2" borderId="0" xfId="0" applyNumberFormat="1" applyFont="1" applyFill="1" applyAlignment="1" applyProtection="1">
      <alignment horizontal="center"/>
      <protection locked="0"/>
    </xf>
    <xf numFmtId="10" fontId="8" fillId="0" borderId="0" xfId="0" applyNumberFormat="1" applyFont="1" applyFill="1" applyAlignment="1" applyProtection="1">
      <alignment horizontal="center"/>
      <protection locked="0"/>
    </xf>
    <xf numFmtId="38" fontId="8" fillId="2" borderId="0" xfId="0" applyNumberFormat="1" applyFont="1" applyFill="1" applyAlignment="1" applyProtection="1">
      <alignment horizontal="center"/>
      <protection locked="0"/>
    </xf>
    <xf numFmtId="38" fontId="8" fillId="0" borderId="0" xfId="0" applyNumberFormat="1" applyFont="1" applyFill="1" applyAlignment="1" applyProtection="1">
      <alignment horizontal="center"/>
      <protection locked="0"/>
    </xf>
    <xf numFmtId="8" fontId="8" fillId="2" borderId="0" xfId="0" applyNumberFormat="1" applyFont="1" applyFill="1" applyAlignment="1" applyProtection="1">
      <alignment horizontal="center"/>
      <protection locked="0"/>
    </xf>
    <xf numFmtId="8" fontId="8" fillId="0" borderId="0" xfId="0" applyNumberFormat="1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 indent="1"/>
      <protection locked="0"/>
    </xf>
    <xf numFmtId="3" fontId="11" fillId="2" borderId="0" xfId="0" applyNumberFormat="1" applyFont="1" applyFill="1" applyAlignment="1" applyProtection="1">
      <alignment horizontal="center"/>
      <protection locked="0"/>
    </xf>
    <xf numFmtId="3" fontId="11" fillId="0" borderId="0" xfId="0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170" fontId="8" fillId="2" borderId="0" xfId="0" applyNumberFormat="1" applyFont="1" applyFill="1" applyAlignment="1" applyProtection="1">
      <alignment horizontal="center"/>
      <protection locked="0"/>
    </xf>
    <xf numFmtId="170" fontId="8" fillId="0" borderId="0" xfId="0" applyNumberFormat="1" applyFont="1" applyFill="1" applyAlignment="1" applyProtection="1">
      <alignment horizontal="center"/>
      <protection locked="0"/>
    </xf>
    <xf numFmtId="38" fontId="9" fillId="2" borderId="0" xfId="0" applyNumberFormat="1" applyFont="1" applyFill="1" applyAlignment="1" applyProtection="1">
      <alignment horizontal="center"/>
      <protection locked="0"/>
    </xf>
    <xf numFmtId="38" fontId="9" fillId="2" borderId="0" xfId="0" applyNumberFormat="1" applyFont="1" applyFill="1" applyProtection="1">
      <protection locked="0"/>
    </xf>
    <xf numFmtId="38" fontId="9" fillId="0" borderId="0" xfId="0" applyNumberFormat="1" applyFont="1" applyFill="1" applyProtection="1">
      <protection locked="0"/>
    </xf>
    <xf numFmtId="3" fontId="0" fillId="2" borderId="0" xfId="0" applyNumberFormat="1" applyFill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10" fontId="0" fillId="0" borderId="0" xfId="0" applyNumberFormat="1" applyAlignment="1" applyProtection="1">
      <alignment horizontal="center"/>
      <protection locked="0"/>
    </xf>
    <xf numFmtId="38" fontId="0" fillId="0" borderId="0" xfId="0" applyNumberFormat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10" fontId="2" fillId="2" borderId="0" xfId="0" applyNumberFormat="1" applyFont="1" applyFill="1" applyProtection="1">
      <protection locked="0"/>
    </xf>
    <xf numFmtId="0" fontId="0" fillId="2" borderId="0" xfId="0" quotePrefix="1" applyFill="1" applyAlignment="1" applyProtection="1">
      <alignment horizontal="left" indent="1"/>
      <protection locked="0"/>
    </xf>
    <xf numFmtId="5" fontId="2" fillId="2" borderId="0" xfId="0" applyNumberFormat="1" applyFont="1" applyFill="1" applyProtection="1">
      <protection locked="0"/>
    </xf>
    <xf numFmtId="5" fontId="0" fillId="2" borderId="0" xfId="0" applyNumberFormat="1" applyFill="1" applyProtection="1">
      <protection locked="0"/>
    </xf>
    <xf numFmtId="5" fontId="0" fillId="0" borderId="0" xfId="0" applyNumberFormat="1" applyProtection="1">
      <protection locked="0"/>
    </xf>
    <xf numFmtId="0" fontId="0" fillId="2" borderId="0" xfId="0" quotePrefix="1" applyFill="1" applyProtection="1">
      <protection locked="0"/>
    </xf>
    <xf numFmtId="10" fontId="15" fillId="2" borderId="0" xfId="0" applyNumberFormat="1" applyFont="1" applyFill="1" applyProtection="1">
      <protection locked="0"/>
    </xf>
    <xf numFmtId="5" fontId="15" fillId="2" borderId="0" xfId="0" applyNumberFormat="1" applyFont="1" applyFill="1" applyProtection="1">
      <protection locked="0"/>
    </xf>
    <xf numFmtId="164" fontId="8" fillId="2" borderId="0" xfId="0" applyNumberFormat="1" applyFont="1" applyFill="1" applyProtection="1">
      <protection locked="0"/>
    </xf>
    <xf numFmtId="164" fontId="2" fillId="2" borderId="0" xfId="0" applyNumberFormat="1" applyFont="1" applyFill="1" applyProtection="1">
      <protection locked="0"/>
    </xf>
    <xf numFmtId="5" fontId="1" fillId="2" borderId="0" xfId="0" applyNumberFormat="1" applyFont="1" applyFill="1" applyProtection="1">
      <protection locked="0"/>
    </xf>
    <xf numFmtId="5" fontId="8" fillId="2" borderId="0" xfId="0" applyNumberFormat="1" applyFont="1" applyFill="1" applyProtection="1">
      <protection locked="0"/>
    </xf>
    <xf numFmtId="10" fontId="8" fillId="2" borderId="0" xfId="0" applyNumberFormat="1" applyFont="1" applyFill="1" applyProtection="1"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3" fillId="2" borderId="3" xfId="0" applyFont="1" applyFill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164" fontId="2" fillId="2" borderId="0" xfId="0" applyNumberFormat="1" applyFont="1" applyFill="1" applyAlignment="1" applyProtection="1">
      <alignment horizontal="center"/>
      <protection locked="0"/>
    </xf>
    <xf numFmtId="6" fontId="8" fillId="2" borderId="0" xfId="0" applyNumberFormat="1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9" fontId="2" fillId="0" borderId="0" xfId="0" applyNumberFormat="1" applyFont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175" fontId="8" fillId="2" borderId="0" xfId="0" applyNumberFormat="1" applyFont="1" applyFill="1" applyAlignment="1" applyProtection="1">
      <alignment horizontal="left"/>
      <protection locked="0"/>
    </xf>
    <xf numFmtId="9" fontId="2" fillId="2" borderId="0" xfId="0" applyNumberFormat="1" applyFont="1" applyFill="1" applyAlignment="1" applyProtection="1">
      <alignment horizontal="center"/>
      <protection locked="0"/>
    </xf>
    <xf numFmtId="9" fontId="8" fillId="2" borderId="0" xfId="0" applyNumberFormat="1" applyFont="1" applyFill="1" applyAlignment="1" applyProtection="1">
      <alignment horizontal="center"/>
      <protection locked="0"/>
    </xf>
    <xf numFmtId="10" fontId="0" fillId="2" borderId="0" xfId="0" applyNumberFormat="1" applyFill="1" applyAlignment="1" applyProtection="1">
      <alignment horizontal="center"/>
      <protection locked="0"/>
    </xf>
    <xf numFmtId="173" fontId="2" fillId="2" borderId="0" xfId="0" applyNumberFormat="1" applyFont="1" applyFill="1" applyProtection="1">
      <protection locked="0"/>
    </xf>
    <xf numFmtId="174" fontId="8" fillId="2" borderId="0" xfId="0" applyNumberFormat="1" applyFont="1" applyFill="1" applyAlignment="1" applyProtection="1">
      <alignment horizontal="left"/>
      <protection locked="0"/>
    </xf>
    <xf numFmtId="173" fontId="2" fillId="0" borderId="0" xfId="0" applyNumberFormat="1" applyFont="1" applyFill="1" applyProtection="1">
      <protection locked="0"/>
    </xf>
    <xf numFmtId="174" fontId="8" fillId="0" borderId="0" xfId="0" applyNumberFormat="1" applyFont="1" applyFill="1" applyAlignment="1" applyProtection="1">
      <alignment horizontal="left"/>
      <protection locked="0"/>
    </xf>
    <xf numFmtId="9" fontId="2" fillId="0" borderId="0" xfId="0" applyNumberFormat="1" applyFont="1" applyFill="1" applyAlignment="1" applyProtection="1">
      <alignment horizontal="center"/>
      <protection locked="0"/>
    </xf>
    <xf numFmtId="9" fontId="8" fillId="0" borderId="0" xfId="0" applyNumberFormat="1" applyFont="1" applyFill="1" applyAlignment="1" applyProtection="1">
      <alignment horizontal="center"/>
      <protection locked="0"/>
    </xf>
    <xf numFmtId="10" fontId="0" fillId="0" borderId="0" xfId="0" applyNumberForma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6" fontId="8" fillId="2" borderId="0" xfId="0" applyNumberFormat="1" applyFont="1" applyFill="1" applyProtection="1">
      <protection locked="0"/>
    </xf>
    <xf numFmtId="3" fontId="8" fillId="2" borderId="0" xfId="0" applyNumberFormat="1" applyFont="1" applyFill="1" applyAlignment="1" applyProtection="1">
      <alignment horizontal="center"/>
      <protection locked="0"/>
    </xf>
    <xf numFmtId="3" fontId="8" fillId="0" borderId="0" xfId="0" applyNumberFormat="1" applyFont="1" applyFill="1" applyAlignment="1" applyProtection="1">
      <alignment horizontal="center"/>
      <protection locked="0"/>
    </xf>
    <xf numFmtId="170" fontId="8" fillId="2" borderId="0" xfId="0" applyNumberFormat="1" applyFont="1" applyFill="1" applyProtection="1">
      <protection locked="0"/>
    </xf>
    <xf numFmtId="0" fontId="8" fillId="0" borderId="0" xfId="0" applyFont="1" applyProtection="1">
      <protection locked="0"/>
    </xf>
    <xf numFmtId="167" fontId="8" fillId="2" borderId="0" xfId="0" applyNumberFormat="1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4" fillId="2" borderId="3" xfId="0" applyFont="1" applyFill="1" applyBorder="1" applyProtection="1">
      <protection locked="0"/>
    </xf>
    <xf numFmtId="164" fontId="4" fillId="2" borderId="3" xfId="0" applyNumberFormat="1" applyFont="1" applyFill="1" applyBorder="1" applyProtection="1">
      <protection locked="0"/>
    </xf>
    <xf numFmtId="176" fontId="0" fillId="2" borderId="0" xfId="0" applyNumberFormat="1" applyFill="1" applyAlignment="1" applyProtection="1">
      <alignment horizontal="left"/>
      <protection locked="0"/>
    </xf>
    <xf numFmtId="9" fontId="0" fillId="2" borderId="0" xfId="0" applyNumberFormat="1" applyFill="1" applyProtection="1">
      <protection locked="0"/>
    </xf>
    <xf numFmtId="0" fontId="0" fillId="0" borderId="0" xfId="0" applyAlignment="1" applyProtection="1">
      <protection locked="0"/>
    </xf>
    <xf numFmtId="0" fontId="0" fillId="2" borderId="0" xfId="0" applyFont="1" applyFill="1" applyAlignment="1" applyProtection="1">
      <protection locked="0"/>
    </xf>
    <xf numFmtId="166" fontId="8" fillId="2" borderId="0" xfId="0" applyNumberFormat="1" applyFont="1" applyFill="1" applyAlignment="1" applyProtection="1">
      <alignment horizontal="left"/>
      <protection locked="0"/>
    </xf>
    <xf numFmtId="166" fontId="2" fillId="2" borderId="0" xfId="0" applyNumberFormat="1" applyFont="1" applyFill="1" applyAlignment="1" applyProtection="1">
      <alignment horizontal="left"/>
      <protection locked="0"/>
    </xf>
    <xf numFmtId="165" fontId="2" fillId="0" borderId="0" xfId="0" applyNumberFormat="1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 applyProtection="1">
      <alignment horizontal="left"/>
      <protection locked="0"/>
    </xf>
    <xf numFmtId="164" fontId="2" fillId="2" borderId="0" xfId="0" applyNumberFormat="1" applyFont="1" applyFill="1" applyBorder="1" applyAlignment="1" applyProtection="1">
      <alignment horizontal="left"/>
      <protection locked="0"/>
    </xf>
    <xf numFmtId="6" fontId="2" fillId="0" borderId="0" xfId="0" applyNumberFormat="1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10" fontId="2" fillId="0" borderId="0" xfId="0" applyNumberFormat="1" applyFont="1" applyFill="1" applyBorder="1" applyAlignment="1" applyProtection="1">
      <alignment horizontal="left"/>
      <protection locked="0"/>
    </xf>
    <xf numFmtId="167" fontId="2" fillId="2" borderId="0" xfId="0" applyNumberFormat="1" applyFont="1" applyFill="1" applyAlignment="1" applyProtection="1">
      <alignment horizontal="left"/>
      <protection locked="0"/>
    </xf>
    <xf numFmtId="6" fontId="8" fillId="0" borderId="0" xfId="0" applyNumberFormat="1" applyFont="1" applyFill="1" applyBorder="1" applyAlignment="1" applyProtection="1">
      <alignment horizontal="left"/>
      <protection locked="0"/>
    </xf>
    <xf numFmtId="10" fontId="0" fillId="2" borderId="0" xfId="0" applyNumberFormat="1" applyFill="1" applyAlignment="1" applyProtection="1">
      <alignment horizontal="left"/>
      <protection locked="0"/>
    </xf>
    <xf numFmtId="168" fontId="2" fillId="2" borderId="0" xfId="0" applyNumberFormat="1" applyFont="1" applyFill="1" applyAlignment="1" applyProtection="1">
      <alignment horizontal="left"/>
      <protection locked="0"/>
    </xf>
    <xf numFmtId="8" fontId="0" fillId="2" borderId="0" xfId="0" applyNumberFormat="1" applyFill="1" applyAlignment="1" applyProtection="1">
      <alignment horizontal="left"/>
      <protection locked="0"/>
    </xf>
    <xf numFmtId="169" fontId="2" fillId="2" borderId="0" xfId="0" applyNumberFormat="1" applyFont="1" applyFill="1" applyAlignment="1" applyProtection="1">
      <alignment horizontal="left"/>
      <protection locked="0"/>
    </xf>
    <xf numFmtId="6" fontId="0" fillId="2" borderId="0" xfId="0" applyNumberFormat="1" applyFill="1" applyAlignment="1" applyProtection="1">
      <alignment horizontal="left"/>
      <protection locked="0"/>
    </xf>
    <xf numFmtId="10" fontId="2" fillId="2" borderId="0" xfId="0" applyNumberFormat="1" applyFont="1" applyFill="1" applyBorder="1" applyAlignment="1" applyProtection="1">
      <alignment horizontal="left"/>
      <protection locked="0"/>
    </xf>
    <xf numFmtId="10" fontId="2" fillId="2" borderId="0" xfId="0" applyNumberFormat="1" applyFont="1" applyFill="1" applyAlignment="1" applyProtection="1">
      <alignment horizontal="left"/>
      <protection locked="0"/>
    </xf>
    <xf numFmtId="8" fontId="2" fillId="2" borderId="0" xfId="0" applyNumberFormat="1" applyFont="1" applyFill="1" applyAlignment="1" applyProtection="1">
      <alignment horizontal="left"/>
      <protection locked="0"/>
    </xf>
    <xf numFmtId="0" fontId="0" fillId="3" borderId="0" xfId="0" applyFont="1" applyFill="1" applyAlignment="1" applyProtection="1">
      <protection locked="0"/>
    </xf>
    <xf numFmtId="6" fontId="8" fillId="3" borderId="0" xfId="0" applyNumberFormat="1" applyFont="1" applyFill="1" applyBorder="1" applyAlignment="1" applyProtection="1">
      <alignment horizontal="left"/>
      <protection locked="0"/>
    </xf>
    <xf numFmtId="0" fontId="0" fillId="0" borderId="0" xfId="0" applyFont="1" applyAlignment="1" applyProtection="1">
      <protection locked="0"/>
    </xf>
    <xf numFmtId="6" fontId="8" fillId="2" borderId="0" xfId="0" applyNumberFormat="1" applyFont="1" applyFill="1" applyBorder="1" applyAlignment="1" applyProtection="1">
      <alignment horizontal="left"/>
      <protection locked="0"/>
    </xf>
    <xf numFmtId="6" fontId="8" fillId="2" borderId="0" xfId="0" applyNumberFormat="1" applyFont="1" applyFill="1" applyAlignment="1" applyProtection="1">
      <alignment horizontal="left"/>
      <protection locked="0"/>
    </xf>
    <xf numFmtId="6" fontId="0" fillId="0" borderId="0" xfId="0" applyNumberFormat="1" applyAlignment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170" fontId="0" fillId="2" borderId="0" xfId="0" applyNumberFormat="1" applyFill="1" applyAlignment="1" applyProtection="1">
      <alignment horizontal="left"/>
      <protection locked="0"/>
    </xf>
    <xf numFmtId="172" fontId="2" fillId="2" borderId="0" xfId="0" applyNumberFormat="1" applyFont="1" applyFill="1" applyAlignment="1" applyProtection="1">
      <alignment horizontal="left"/>
      <protection locked="0"/>
    </xf>
    <xf numFmtId="171" fontId="2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Alignment="1" applyProtection="1">
      <protection locked="0"/>
    </xf>
    <xf numFmtId="10" fontId="8" fillId="2" borderId="0" xfId="0" applyNumberFormat="1" applyFont="1" applyFill="1" applyBorder="1" applyAlignment="1" applyProtection="1">
      <alignment horizontal="left"/>
      <protection locked="0"/>
    </xf>
    <xf numFmtId="10" fontId="0" fillId="2" borderId="0" xfId="0" applyNumberFormat="1" applyFont="1" applyFill="1" applyAlignment="1" applyProtection="1">
      <alignment horizontal="left"/>
      <protection locked="0"/>
    </xf>
    <xf numFmtId="0" fontId="0" fillId="2" borderId="0" xfId="0" applyFont="1" applyFill="1" applyAlignment="1" applyProtection="1">
      <alignment horizontal="left"/>
      <protection locked="0"/>
    </xf>
    <xf numFmtId="6" fontId="0" fillId="2" borderId="0" xfId="0" applyNumberFormat="1" applyFont="1" applyFill="1" applyAlignment="1" applyProtection="1">
      <alignment horizontal="left"/>
      <protection locked="0"/>
    </xf>
    <xf numFmtId="170" fontId="8" fillId="2" borderId="0" xfId="0" applyNumberFormat="1" applyFont="1" applyFill="1" applyBorder="1" applyAlignment="1" applyProtection="1">
      <alignment horizontal="left"/>
      <protection locked="0"/>
    </xf>
    <xf numFmtId="170" fontId="0" fillId="2" borderId="0" xfId="0" applyNumberFormat="1" applyFont="1" applyFill="1" applyAlignment="1" applyProtection="1">
      <alignment horizontal="left"/>
      <protection locked="0"/>
    </xf>
    <xf numFmtId="0" fontId="0" fillId="0" borderId="0" xfId="0" applyFont="1" applyFill="1" applyAlignment="1" applyProtection="1">
      <protection locked="0"/>
    </xf>
    <xf numFmtId="170" fontId="0" fillId="0" borderId="0" xfId="0" applyNumberFormat="1" applyFont="1" applyFill="1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10" fontId="0" fillId="0" borderId="0" xfId="0" applyNumberFormat="1" applyFont="1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0" fillId="4" borderId="0" xfId="0" applyFill="1" applyProtection="1"/>
    <xf numFmtId="0" fontId="1" fillId="4" borderId="0" xfId="0" applyFont="1" applyFill="1" applyProtection="1"/>
    <xf numFmtId="0" fontId="17" fillId="4" borderId="0" xfId="2" applyFill="1" applyAlignment="1" applyProtection="1">
      <alignment horizontal="left" indent="1"/>
    </xf>
    <xf numFmtId="10" fontId="0" fillId="2" borderId="0" xfId="0" applyNumberFormat="1" applyFill="1" applyProtection="1">
      <protection locked="0"/>
    </xf>
    <xf numFmtId="0" fontId="0" fillId="5" borderId="0" xfId="0" applyFill="1" applyProtection="1"/>
    <xf numFmtId="0" fontId="18" fillId="4" borderId="0" xfId="0" applyFont="1" applyFill="1" applyAlignment="1" applyProtection="1">
      <alignment horizontal="right"/>
    </xf>
    <xf numFmtId="0" fontId="0" fillId="4" borderId="0" xfId="0" quotePrefix="1" applyFill="1" applyProtection="1"/>
    <xf numFmtId="0" fontId="19" fillId="4" borderId="0" xfId="0" applyFont="1" applyFill="1" applyAlignment="1" applyProtection="1">
      <alignment horizontal="center"/>
    </xf>
    <xf numFmtId="0" fontId="16" fillId="2" borderId="0" xfId="0" applyFont="1" applyFill="1" applyBorder="1" applyAlignment="1">
      <alignment horizontal="center"/>
    </xf>
    <xf numFmtId="0" fontId="3" fillId="2" borderId="3" xfId="0" applyFont="1" applyFill="1" applyBorder="1" applyAlignment="1" applyProtection="1">
      <alignment horizontal="left"/>
      <protection locked="0"/>
    </xf>
    <xf numFmtId="0" fontId="0" fillId="2" borderId="3" xfId="0" applyFont="1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alignment horizontal="left"/>
      <protection locked="0"/>
    </xf>
  </cellXfs>
  <cellStyles count="3">
    <cellStyle name="Hyperlink" xfId="2" builtinId="8"/>
    <cellStyle name="Normal" xfId="0" builtinId="0"/>
    <cellStyle name="Normal 2" xfId="1"/>
  </cellStyles>
  <dxfs count="4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</dxf>
    <dxf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</dxf>
    <dxf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color rgb="FF0000FF"/>
      </font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473134</xdr:colOff>
      <xdr:row>1</xdr:row>
      <xdr:rowOff>10583</xdr:rowOff>
    </xdr:from>
    <xdr:to>
      <xdr:col>19</xdr:col>
      <xdr:colOff>268940</xdr:colOff>
      <xdr:row>36</xdr:row>
      <xdr:rowOff>145677</xdr:rowOff>
    </xdr:to>
    <xdr:sp macro="" textlink="">
      <xdr:nvSpPr>
        <xdr:cNvPr id="2" name="TextBox 1"/>
        <xdr:cNvSpPr txBox="1"/>
      </xdr:nvSpPr>
      <xdr:spPr>
        <a:xfrm>
          <a:off x="7790575" y="201083"/>
          <a:ext cx="5241865" cy="684741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Edit blue font cells only.</a:t>
          </a:r>
        </a:p>
        <a:p>
          <a:endParaRPr lang="en-US" sz="1100"/>
        </a:p>
        <a:p>
          <a:r>
            <a:rPr lang="en-US" sz="1100"/>
            <a:t>- Purchase Price Method:</a:t>
          </a:r>
        </a:p>
        <a:p>
          <a:r>
            <a:rPr lang="en-US" sz="1100" baseline="0"/>
            <a:t>    - Manual Input = Purchase price manually set</a:t>
          </a:r>
        </a:p>
        <a:p>
          <a:r>
            <a:rPr lang="en-US" sz="1100" baseline="0"/>
            <a:t>    - DCF Value = Purchase price set as present value of property cash flows through the end of analysis period, including exit value, discounted back at discount rate set in cell D12</a:t>
          </a:r>
        </a:p>
        <a:p>
          <a:r>
            <a:rPr lang="en-US" sz="1100" baseline="0"/>
            <a:t>    - Cap Year 1 NOI = Year 1 NOI capitalized at 'Market Cap Rate" set in cell D911 (Year 1 NOI ÷ Market Cap Rate)</a:t>
          </a:r>
        </a:p>
        <a:p>
          <a:r>
            <a:rPr lang="en-US" sz="1100" baseline="0"/>
            <a:t>    - Replacement cost = Replacement cost per square foot (see cell D13) multiplied by the net rentable area (see cell H3)</a:t>
          </a:r>
        </a:p>
        <a:p>
          <a:endParaRPr lang="en-US" sz="1100" baseline="0"/>
        </a:p>
        <a:p>
          <a:r>
            <a:rPr lang="en-US" sz="1100" baseline="0"/>
            <a:t>- Analysis start = The date you anticipate closing on the property</a:t>
          </a:r>
        </a:p>
        <a:p>
          <a:r>
            <a:rPr lang="en-US" sz="1100" baseline="0"/>
            <a:t>- Analysis period = Duration you intend to hold the property</a:t>
          </a:r>
        </a:p>
        <a:p>
          <a:r>
            <a:rPr lang="en-US" sz="1100" baseline="0"/>
            <a:t>- Exit cap year = Determines which year's NOI to be used for calculating exit value (typically either same as analysis period or one year after analysis period)</a:t>
          </a:r>
        </a:p>
        <a:p>
          <a:r>
            <a:rPr lang="en-US" sz="1100" baseline="0"/>
            <a:t>- Exit Cap Rate Growth /Yr. = Used to determine exit cap rate; exit cap rate is calculated as the going-in cap rate plus the exit cap rate growth per year through to the end of the analysis period (e.g. if going-in cap rate is 6.00% and the exit cap rate growth per year is 5 basis points, then the exit cap rate in year 10 would be 6.50%)</a:t>
          </a:r>
        </a:p>
        <a:p>
          <a:r>
            <a:rPr lang="en-US" sz="1100" baseline="0"/>
            <a:t>- Market Cap Rate Yr. 1 = The market cap rate for this type of property in year one; use market reports, professional knowledge, broker guidance to set this value</a:t>
          </a:r>
        </a:p>
        <a:p>
          <a:r>
            <a:rPr lang="en-US" sz="1100" baseline="0"/>
            <a:t>- Discount rate = The discount rate  is used to calculate the DCF value; often the discount rate is the unlevered rate of return the acquirer wishes to obtain on the investment</a:t>
          </a:r>
        </a:p>
        <a:p>
          <a:r>
            <a:rPr lang="en-US" sz="1100" baseline="0"/>
            <a:t>- Replacement Cost (PSF) = The cost to develop/build this type of property today on a per square foot basis</a:t>
          </a:r>
        </a:p>
        <a:p>
          <a:r>
            <a:rPr lang="en-US" sz="1100" baseline="0"/>
            <a:t>- Terminal value = the price at which the property is expected to sell at the end of the hold period</a:t>
          </a:r>
        </a:p>
        <a:p>
          <a:endParaRPr lang="en-US" sz="1100" baseline="0"/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Acquisition Cost = Cost of acquisition (due diligence, closing costs, etc) as a % of purchase price; does NOT included lender fees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Interest rate = Fixed mortgage interest rate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Years I/O = # of years mortgage loan is interest-only; set to 0 if N/A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Amo Period = Amortization period (e.g. 30 years)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Term = Years to maturity; this is for reference only - does not affect calculations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LTV = Loan-to-value; used to calculate loan amount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Upfront CapEx = Amount needed to be spent on initial lease-up, deferred maintenance, renovation, or other "value-add" initiatives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Lender Fees = cost to acquire financing (e.g. 1%)</a:t>
          </a:r>
          <a:endParaRPr lang="en-US">
            <a:effectLst/>
          </a:endParaRPr>
        </a:p>
        <a:p>
          <a:endParaRPr lang="en-US" sz="1100" baseline="0"/>
        </a:p>
        <a:p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100853</xdr:colOff>
          <xdr:row>1</xdr:row>
          <xdr:rowOff>0</xdr:rowOff>
        </xdr:from>
        <xdr:to>
          <xdr:col>10</xdr:col>
          <xdr:colOff>405653</xdr:colOff>
          <xdr:row>9</xdr:row>
          <xdr:rowOff>19050</xdr:rowOff>
        </xdr:to>
        <xdr:pic>
          <xdr:nvPicPr>
            <xdr:cNvPr id="3" name="Picture 2"/>
            <xdr:cNvPicPr>
              <a:picLocks noChangeAspect="1" noChangeArrowheads="1"/>
              <a:extLst>
                <a:ext uri="{84589F7E-364E-4C9E-8A38-B11213B215E9}">
                  <a14:cameraTool cellRange="'Raw Data'!$B$4:$D$11" spid="_x0000_s729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790765" y="190500"/>
              <a:ext cx="1828800" cy="155425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</xdr:row>
          <xdr:rowOff>0</xdr:rowOff>
        </xdr:from>
        <xdr:to>
          <xdr:col>26</xdr:col>
          <xdr:colOff>323850</xdr:colOff>
          <xdr:row>8</xdr:row>
          <xdr:rowOff>19050</xdr:rowOff>
        </xdr:to>
        <xdr:pic>
          <xdr:nvPicPr>
            <xdr:cNvPr id="3" name="Picture 2"/>
            <xdr:cNvPicPr>
              <a:picLocks noChangeAspect="1" noChangeArrowheads="1"/>
              <a:extLst>
                <a:ext uri="{84589F7E-364E-4C9E-8A38-B11213B215E9}">
                  <a14:cameraTool cellRange="'Raw Data'!$B$4:$D$11" spid="_x0000_s112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5897225" y="190500"/>
              <a:ext cx="1838325" cy="15525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762000</xdr:colOff>
          <xdr:row>2</xdr:row>
          <xdr:rowOff>168088</xdr:rowOff>
        </xdr:from>
        <xdr:to>
          <xdr:col>15</xdr:col>
          <xdr:colOff>899833</xdr:colOff>
          <xdr:row>10</xdr:row>
          <xdr:rowOff>179294</xdr:rowOff>
        </xdr:to>
        <xdr:pic>
          <xdr:nvPicPr>
            <xdr:cNvPr id="2" name="Picture 1"/>
            <xdr:cNvPicPr>
              <a:picLocks noChangeAspect="1" noChangeArrowheads="1"/>
              <a:extLst>
                <a:ext uri="{84589F7E-364E-4C9E-8A38-B11213B215E9}">
                  <a14:cameraTool cellRange="'Raw Data'!$B$4:$D$11" spid="_x0000_s1238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023912" y="560294"/>
              <a:ext cx="1841127" cy="155761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4</xdr:row>
          <xdr:rowOff>28575</xdr:rowOff>
        </xdr:from>
        <xdr:to>
          <xdr:col>18</xdr:col>
          <xdr:colOff>124385</xdr:colOff>
          <xdr:row>12</xdr:row>
          <xdr:rowOff>58831</xdr:rowOff>
        </xdr:to>
        <xdr:pic>
          <xdr:nvPicPr>
            <xdr:cNvPr id="2" name="Picture 1"/>
            <xdr:cNvPicPr>
              <a:picLocks noChangeAspect="1" noChangeArrowheads="1"/>
              <a:extLst>
                <a:ext uri="{84589F7E-364E-4C9E-8A38-B11213B215E9}">
                  <a14:cameraTool cellRange="'Raw Data'!$B$4:$D$11" spid="_x0000_s1851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534775" y="790575"/>
              <a:ext cx="1848410" cy="155425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112059</xdr:colOff>
          <xdr:row>1</xdr:row>
          <xdr:rowOff>0</xdr:rowOff>
        </xdr:from>
        <xdr:to>
          <xdr:col>16</xdr:col>
          <xdr:colOff>312084</xdr:colOff>
          <xdr:row>9</xdr:row>
          <xdr:rowOff>19050</xdr:rowOff>
        </xdr:to>
        <xdr:pic>
          <xdr:nvPicPr>
            <xdr:cNvPr id="2" name="Picture 1"/>
            <xdr:cNvPicPr>
              <a:picLocks noChangeAspect="1" noChangeArrowheads="1"/>
              <a:extLst>
                <a:ext uri="{84589F7E-364E-4C9E-8A38-B11213B215E9}">
                  <a14:cameraTool cellRange="'Raw Data'!$B$4:$D$11" spid="_x0000_s1341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3368618" y="190500"/>
              <a:ext cx="1836084" cy="155425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190499</xdr:colOff>
          <xdr:row>7</xdr:row>
          <xdr:rowOff>134470</xdr:rowOff>
        </xdr:from>
        <xdr:to>
          <xdr:col>3</xdr:col>
          <xdr:colOff>44262</xdr:colOff>
          <xdr:row>15</xdr:row>
          <xdr:rowOff>164726</xdr:rowOff>
        </xdr:to>
        <xdr:pic>
          <xdr:nvPicPr>
            <xdr:cNvPr id="3" name="Picture 2"/>
            <xdr:cNvPicPr>
              <a:picLocks noChangeAspect="1" noChangeArrowheads="1"/>
              <a:extLst>
                <a:ext uri="{84589F7E-364E-4C9E-8A38-B11213B215E9}">
                  <a14:cameraTool cellRange="'Raw Data'!$B$4:$D$11" spid="_x0000_s1443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499" y="1479176"/>
              <a:ext cx="1848410" cy="155425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and%20Group%20FTP/Dropbox/Spencer%20Documents/USAA/Misc/Misc.%20Portfolio%20Return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4- Quadrant"/>
      <sheetName val="Argus CF"/>
      <sheetName val="DD Memo Charts"/>
      <sheetName val="Return Variances"/>
      <sheetName val="Portfolio Summary"/>
      <sheetName val="Rollup - Property Level Returns"/>
      <sheetName val="Rollup - Investor Level Returns"/>
      <sheetName val="Investment Summary Returns"/>
      <sheetName val="Assump."/>
      <sheetName val="RR"/>
      <sheetName val="Spivey Station Mortgage"/>
      <sheetName val="Assump. (2)"/>
      <sheetName val="RR (2)"/>
      <sheetName val="Spivey Station Surgery Mort"/>
      <sheetName val="Assump. (3)"/>
      <sheetName val="RR (3)"/>
      <sheetName val="330 Physicians Center Mortgage"/>
      <sheetName val="Assump. (4)"/>
      <sheetName val="RR (4)"/>
      <sheetName val="Midtown Medical Plaza Mortgage"/>
      <sheetName val="Assump. (5)"/>
      <sheetName val="RR (5)"/>
      <sheetName val="Main St."/>
      <sheetName val="Presbyterian Mortgage"/>
      <sheetName val="110 Broad St."/>
      <sheetName val="Assump. (6)"/>
      <sheetName val="RR (6)"/>
      <sheetName val="Metroview Mortgage"/>
      <sheetName val="Hollybrook Town Ctr"/>
      <sheetName val="Assump. (7)"/>
      <sheetName val="RR (7)"/>
      <sheetName val="Matthews Mortgage"/>
      <sheetName val="Cline's Power Ctr"/>
      <sheetName val="Assump. (8)"/>
      <sheetName val="RR (8)"/>
      <sheetName val="CFs (8)"/>
      <sheetName val="Huntersville Mortgage"/>
      <sheetName val="Huntersville Physicians Plaza"/>
      <sheetName val="Assump. (9)"/>
      <sheetName val="RR (9)"/>
      <sheetName val="CFs (9)"/>
      <sheetName val="Medwest Mortgage"/>
      <sheetName val="Medwest Outpatient Center"/>
      <sheetName val="UNUSED SHEETS TO RIGHT"/>
      <sheetName val="Assump. (10)"/>
      <sheetName val="RR (10)"/>
      <sheetName val="CFs (10)"/>
      <sheetName val="10"/>
      <sheetName val="Assump. (11)"/>
      <sheetName val="RR (11)"/>
      <sheetName val="CFs (11)"/>
      <sheetName val="11"/>
      <sheetName val="Assump. (12)"/>
      <sheetName val="RR (12)"/>
      <sheetName val="CFs (12)"/>
      <sheetName val="12"/>
      <sheetName val="Assump. (13)"/>
      <sheetName val="RR (13)"/>
      <sheetName val="CFs (13)"/>
      <sheetName val="13"/>
      <sheetName val="Assump. (14)"/>
      <sheetName val="RR (14)"/>
      <sheetName val="CFs (14)"/>
      <sheetName val="14"/>
      <sheetName val="Assump. (15)"/>
      <sheetName val="RR (15)"/>
      <sheetName val="CFs (15)"/>
      <sheetName val="15"/>
      <sheetName val="Assump. (16)"/>
      <sheetName val="RR (16)"/>
      <sheetName val="CFs (16)"/>
      <sheetName val="16"/>
      <sheetName val="Assump. (17)"/>
      <sheetName val="RR (17)"/>
      <sheetName val="CFs (17)"/>
      <sheetName val="17"/>
      <sheetName val="Assump. (18)"/>
      <sheetName val="RR (18)"/>
      <sheetName val="CFs (18)"/>
      <sheetName val="18"/>
      <sheetName val="Assump. (19)"/>
      <sheetName val="RR (19)"/>
      <sheetName val="CFs (19)"/>
      <sheetName val="19"/>
      <sheetName val="Assump. (20)"/>
      <sheetName val="RR (20)"/>
      <sheetName val="CFs (20)"/>
      <sheetName val="20"/>
      <sheetName val="Adjustable Porfolio"/>
      <sheetName val="Portfolio Returns with Fe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44">
          <cell r="F344" t="str">
            <v>On</v>
          </cell>
        </row>
        <row r="345">
          <cell r="F345" t="str">
            <v>Off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dventuresincre.com/" TargetMode="External"/><Relationship Id="rId1" Type="http://schemas.openxmlformats.org/officeDocument/2006/relationships/hyperlink" Target="http://www.spencerburton.or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B2:K18"/>
  <sheetViews>
    <sheetView tabSelected="1" workbookViewId="0">
      <selection activeCell="B13" sqref="B13"/>
    </sheetView>
  </sheetViews>
  <sheetFormatPr defaultRowHeight="15" x14ac:dyDescent="0.25"/>
  <cols>
    <col min="1" max="1" width="2.28515625" style="185" customWidth="1"/>
    <col min="2" max="16384" width="9.140625" style="185"/>
  </cols>
  <sheetData>
    <row r="2" spans="2:11" ht="15.75" x14ac:dyDescent="0.25">
      <c r="B2" s="188" t="s">
        <v>170</v>
      </c>
      <c r="C2" s="188"/>
      <c r="D2" s="188"/>
      <c r="E2" s="188"/>
      <c r="F2" s="188"/>
      <c r="G2" s="188"/>
      <c r="H2" s="188"/>
      <c r="I2" s="188"/>
      <c r="J2" s="188"/>
      <c r="K2" s="188"/>
    </row>
    <row r="3" spans="2:11" ht="7.5" customHeight="1" x14ac:dyDescent="0.25"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2:11" x14ac:dyDescent="0.25">
      <c r="B4" s="182" t="s">
        <v>166</v>
      </c>
      <c r="C4" s="181"/>
      <c r="D4" s="181"/>
      <c r="E4" s="181"/>
      <c r="F4" s="181"/>
      <c r="G4" s="181"/>
      <c r="H4" s="181"/>
      <c r="I4" s="182" t="s">
        <v>171</v>
      </c>
      <c r="J4" s="181"/>
      <c r="K4" s="181"/>
    </row>
    <row r="5" spans="2:11" ht="7.5" customHeight="1" x14ac:dyDescent="0.25">
      <c r="B5" s="182"/>
      <c r="C5" s="181"/>
      <c r="D5" s="181"/>
      <c r="E5" s="181"/>
      <c r="F5" s="181"/>
      <c r="G5" s="181"/>
      <c r="H5" s="181"/>
      <c r="I5" s="181"/>
      <c r="J5" s="181"/>
      <c r="K5" s="181"/>
    </row>
    <row r="6" spans="2:11" x14ac:dyDescent="0.25">
      <c r="B6" s="181" t="s">
        <v>167</v>
      </c>
      <c r="C6" s="181"/>
      <c r="D6" s="181"/>
      <c r="E6" s="181"/>
      <c r="F6" s="181"/>
      <c r="G6" s="181"/>
      <c r="H6" s="181"/>
      <c r="I6" s="181" t="s">
        <v>172</v>
      </c>
      <c r="J6" s="181"/>
      <c r="K6" s="181"/>
    </row>
    <row r="7" spans="2:11" x14ac:dyDescent="0.25">
      <c r="B7" s="183" t="s">
        <v>169</v>
      </c>
      <c r="C7" s="181"/>
      <c r="D7" s="181"/>
      <c r="E7" s="181"/>
      <c r="F7" s="181"/>
      <c r="G7" s="181"/>
      <c r="H7" s="181"/>
      <c r="I7" s="181" t="s">
        <v>173</v>
      </c>
      <c r="J7" s="181"/>
      <c r="K7" s="181"/>
    </row>
    <row r="8" spans="2:11" x14ac:dyDescent="0.25">
      <c r="B8" s="183" t="s">
        <v>168</v>
      </c>
      <c r="C8" s="181"/>
      <c r="D8" s="181"/>
      <c r="E8" s="181"/>
      <c r="F8" s="181"/>
      <c r="G8" s="181"/>
      <c r="H8" s="181"/>
      <c r="I8" s="181" t="s">
        <v>174</v>
      </c>
      <c r="J8" s="181"/>
      <c r="K8" s="181"/>
    </row>
    <row r="9" spans="2:11" x14ac:dyDescent="0.25">
      <c r="B9" s="181"/>
      <c r="C9" s="181"/>
      <c r="D9" s="181"/>
      <c r="E9" s="181"/>
      <c r="F9" s="181"/>
      <c r="G9" s="181"/>
      <c r="H9" s="181"/>
      <c r="I9" s="181"/>
      <c r="J9" s="181"/>
      <c r="K9" s="186" t="s">
        <v>183</v>
      </c>
    </row>
    <row r="10" spans="2:11" x14ac:dyDescent="0.25">
      <c r="B10" s="181" t="s">
        <v>181</v>
      </c>
      <c r="C10" s="181"/>
      <c r="D10" s="181"/>
      <c r="E10" s="181"/>
      <c r="F10" s="181"/>
      <c r="G10" s="181"/>
      <c r="H10" s="181"/>
      <c r="I10" s="181"/>
      <c r="J10" s="181"/>
      <c r="K10" s="181"/>
    </row>
    <row r="11" spans="2:11" x14ac:dyDescent="0.25">
      <c r="B11" s="187" t="s">
        <v>182</v>
      </c>
      <c r="C11" s="181"/>
      <c r="D11" s="181"/>
      <c r="E11" s="181"/>
      <c r="F11" s="181"/>
      <c r="G11" s="181"/>
      <c r="H11" s="181"/>
      <c r="I11" s="181"/>
      <c r="J11" s="181"/>
      <c r="K11" s="181"/>
    </row>
    <row r="12" spans="2:11" x14ac:dyDescent="0.25">
      <c r="B12" s="187" t="s">
        <v>184</v>
      </c>
      <c r="C12" s="181"/>
      <c r="D12" s="181"/>
      <c r="E12" s="181"/>
      <c r="F12" s="181"/>
      <c r="G12" s="181"/>
      <c r="H12" s="181"/>
      <c r="I12" s="181"/>
      <c r="J12" s="181"/>
      <c r="K12" s="181"/>
    </row>
    <row r="13" spans="2:11" x14ac:dyDescent="0.25">
      <c r="B13" s="187" t="s">
        <v>185</v>
      </c>
      <c r="C13" s="181"/>
      <c r="D13" s="181"/>
      <c r="E13" s="181"/>
      <c r="F13" s="181"/>
      <c r="G13" s="181"/>
      <c r="H13" s="181"/>
      <c r="I13" s="181"/>
      <c r="J13" s="181"/>
      <c r="K13" s="181"/>
    </row>
    <row r="14" spans="2:11" x14ac:dyDescent="0.25">
      <c r="B14" s="181"/>
      <c r="C14" s="181"/>
      <c r="D14" s="181"/>
      <c r="E14" s="181"/>
      <c r="F14" s="181"/>
      <c r="G14" s="181"/>
      <c r="H14" s="181"/>
      <c r="I14" s="181"/>
      <c r="J14" s="181"/>
      <c r="K14" s="181"/>
    </row>
    <row r="15" spans="2:11" x14ac:dyDescent="0.25">
      <c r="B15" s="181"/>
      <c r="C15" s="181"/>
      <c r="D15" s="181"/>
      <c r="E15" s="181"/>
      <c r="F15" s="181"/>
      <c r="G15" s="181"/>
      <c r="H15" s="181"/>
      <c r="I15" s="181"/>
      <c r="J15" s="181"/>
      <c r="K15" s="181"/>
    </row>
    <row r="16" spans="2:11" x14ac:dyDescent="0.25">
      <c r="B16" s="181"/>
      <c r="C16" s="181"/>
      <c r="D16" s="181"/>
      <c r="E16" s="181"/>
      <c r="F16" s="181"/>
      <c r="G16" s="181"/>
      <c r="H16" s="181"/>
      <c r="I16" s="181"/>
      <c r="J16" s="181"/>
      <c r="K16" s="181"/>
    </row>
    <row r="17" spans="2:11" x14ac:dyDescent="0.25">
      <c r="B17" s="181"/>
      <c r="C17" s="181"/>
      <c r="D17" s="181"/>
      <c r="E17" s="181"/>
      <c r="F17" s="181"/>
      <c r="G17" s="181"/>
      <c r="H17" s="181"/>
      <c r="I17" s="181"/>
      <c r="J17" s="181"/>
      <c r="K17" s="181"/>
    </row>
    <row r="18" spans="2:11" x14ac:dyDescent="0.25">
      <c r="B18" s="181"/>
      <c r="C18" s="181"/>
      <c r="D18" s="181"/>
      <c r="E18" s="181"/>
      <c r="F18" s="181"/>
      <c r="G18" s="181"/>
      <c r="H18" s="181"/>
      <c r="I18" s="181"/>
      <c r="J18" s="181"/>
      <c r="K18" s="181"/>
    </row>
  </sheetData>
  <mergeCells count="1">
    <mergeCell ref="B2:K2"/>
  </mergeCells>
  <hyperlinks>
    <hyperlink ref="B8" r:id="rId1"/>
    <hyperlink ref="B7" r:id="rId2"/>
  </hyperlinks>
  <pageMargins left="0.7" right="0.7" top="0.75" bottom="0.75" header="0.3" footer="0.3"/>
  <pageSetup orientation="portrait" horizontalDpi="4294967294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I46"/>
  <sheetViews>
    <sheetView showGridLines="0" zoomScale="85" zoomScaleNormal="85" zoomScaleSheetLayoutView="90" workbookViewId="0"/>
  </sheetViews>
  <sheetFormatPr defaultRowHeight="15" x14ac:dyDescent="0.25"/>
  <cols>
    <col min="1" max="1" width="2.7109375" style="161" customWidth="1"/>
    <col min="2" max="2" width="25.5703125" style="161" bestFit="1" customWidth="1"/>
    <col min="3" max="3" width="4.7109375" style="161" customWidth="1"/>
    <col min="4" max="4" width="14.5703125" style="178" bestFit="1" customWidth="1"/>
    <col min="5" max="5" width="4.42578125" style="161" customWidth="1"/>
    <col min="6" max="6" width="18.28515625" style="161" bestFit="1" customWidth="1"/>
    <col min="7" max="7" width="4.7109375" style="161" customWidth="1"/>
    <col min="8" max="8" width="11.85546875" style="178" bestFit="1" customWidth="1"/>
    <col min="9" max="9" width="13.85546875" style="161" bestFit="1" customWidth="1"/>
    <col min="10" max="16384" width="9.140625" style="161"/>
  </cols>
  <sheetData>
    <row r="1" spans="2:8" s="139" customFormat="1" x14ac:dyDescent="0.25">
      <c r="D1" s="112"/>
      <c r="H1" s="112"/>
    </row>
    <row r="2" spans="2:8" s="139" customFormat="1" ht="15.75" x14ac:dyDescent="0.25">
      <c r="B2" s="190" t="s">
        <v>137</v>
      </c>
      <c r="C2" s="190"/>
      <c r="D2" s="190"/>
      <c r="E2" s="191"/>
      <c r="F2" s="192"/>
      <c r="G2" s="192"/>
      <c r="H2" s="193"/>
    </row>
    <row r="3" spans="2:8" s="139" customFormat="1" x14ac:dyDescent="0.25">
      <c r="B3" s="141" t="s">
        <v>1</v>
      </c>
      <c r="C3" s="141"/>
      <c r="D3" s="142" t="s">
        <v>175</v>
      </c>
      <c r="E3" s="140"/>
      <c r="F3" s="58" t="s">
        <v>67</v>
      </c>
      <c r="G3" s="58"/>
      <c r="H3" s="143">
        <v>50000</v>
      </c>
    </row>
    <row r="4" spans="2:8" s="139" customFormat="1" x14ac:dyDescent="0.25">
      <c r="B4" s="141" t="s">
        <v>3</v>
      </c>
      <c r="C4" s="141"/>
      <c r="D4" s="144" t="s">
        <v>176</v>
      </c>
      <c r="E4" s="140"/>
      <c r="F4" s="58" t="s">
        <v>45</v>
      </c>
      <c r="G4" s="58"/>
      <c r="H4" s="146">
        <v>150000</v>
      </c>
    </row>
    <row r="5" spans="2:8" s="139" customFormat="1" x14ac:dyDescent="0.25">
      <c r="B5" s="141" t="s">
        <v>140</v>
      </c>
      <c r="C5" s="141"/>
      <c r="D5" s="145">
        <v>0.9</v>
      </c>
      <c r="E5" s="140"/>
      <c r="F5" s="58" t="s">
        <v>77</v>
      </c>
      <c r="G5" s="58"/>
      <c r="H5" s="148">
        <v>0.01</v>
      </c>
    </row>
    <row r="6" spans="2:8" s="139" customFormat="1" x14ac:dyDescent="0.25">
      <c r="B6" s="58" t="s">
        <v>72</v>
      </c>
      <c r="C6" s="58"/>
      <c r="D6" s="147" t="s">
        <v>73</v>
      </c>
      <c r="E6" s="140"/>
      <c r="F6" s="58" t="s">
        <v>68</v>
      </c>
      <c r="G6" s="58"/>
      <c r="H6" s="150">
        <f>((1+H5)*Purchase_Price)+(Debt*H26)+H4</f>
        <v>15138906.189273201</v>
      </c>
    </row>
    <row r="7" spans="2:8" s="139" customFormat="1" x14ac:dyDescent="0.25">
      <c r="B7" s="141" t="s">
        <v>16</v>
      </c>
      <c r="C7" s="141"/>
      <c r="D7" s="149">
        <v>42370</v>
      </c>
      <c r="E7" s="140"/>
      <c r="F7" s="58" t="s">
        <v>75</v>
      </c>
      <c r="G7" s="58"/>
      <c r="H7" s="151">
        <f>H9/D17</f>
        <v>7.7512594336700963E-2</v>
      </c>
    </row>
    <row r="8" spans="2:8" s="139" customFormat="1" x14ac:dyDescent="0.25">
      <c r="B8" s="141" t="s">
        <v>17</v>
      </c>
      <c r="C8" s="141"/>
      <c r="D8" s="142">
        <v>10</v>
      </c>
      <c r="E8" s="140"/>
      <c r="F8" s="58" t="s">
        <v>69</v>
      </c>
      <c r="G8" s="58"/>
      <c r="H8" s="153">
        <f>Purchase_Price/Property_SF</f>
        <v>294.91207455530156</v>
      </c>
    </row>
    <row r="9" spans="2:8" s="139" customFormat="1" x14ac:dyDescent="0.25">
      <c r="B9" s="141" t="s">
        <v>66</v>
      </c>
      <c r="C9" s="141"/>
      <c r="D9" s="152">
        <v>11</v>
      </c>
      <c r="E9" s="140"/>
      <c r="F9" s="58" t="s">
        <v>70</v>
      </c>
      <c r="G9" s="58"/>
      <c r="H9" s="155">
        <f>'Property Returns'!D7</f>
        <v>1142970</v>
      </c>
    </row>
    <row r="10" spans="2:8" s="139" customFormat="1" x14ac:dyDescent="0.25">
      <c r="B10" s="141" t="s">
        <v>65</v>
      </c>
      <c r="C10" s="141"/>
      <c r="D10" s="154">
        <v>5</v>
      </c>
      <c r="E10" s="140"/>
      <c r="F10" s="58" t="s">
        <v>71</v>
      </c>
      <c r="G10" s="58"/>
      <c r="H10" s="155">
        <f>'Property Returns'!F7</f>
        <v>1208148.2879999999</v>
      </c>
    </row>
    <row r="11" spans="2:8" s="139" customFormat="1" x14ac:dyDescent="0.25">
      <c r="B11" s="141" t="s">
        <v>64</v>
      </c>
      <c r="C11" s="141"/>
      <c r="D11" s="156">
        <v>7.4999999999999997E-2</v>
      </c>
      <c r="E11" s="140"/>
      <c r="F11" s="58" t="s">
        <v>138</v>
      </c>
      <c r="G11" s="58"/>
      <c r="H11" s="151">
        <f>H7+(Analysis_Period*(D10/10000))</f>
        <v>8.2512594336700967E-2</v>
      </c>
    </row>
    <row r="12" spans="2:8" s="139" customFormat="1" x14ac:dyDescent="0.25">
      <c r="B12" s="141" t="s">
        <v>55</v>
      </c>
      <c r="C12" s="141"/>
      <c r="D12" s="157">
        <v>0.08</v>
      </c>
      <c r="E12" s="140"/>
      <c r="F12" s="58" t="s">
        <v>139</v>
      </c>
      <c r="G12" s="58"/>
      <c r="H12" s="150">
        <f>HLOOKUP(Analysis_Period,'Property Returns'!$D$3:$S$32,10,FALSE)</f>
        <v>17739195.929868475</v>
      </c>
    </row>
    <row r="13" spans="2:8" s="139" customFormat="1" x14ac:dyDescent="0.25">
      <c r="B13" s="141" t="s">
        <v>57</v>
      </c>
      <c r="C13" s="141"/>
      <c r="D13" s="158">
        <v>300</v>
      </c>
      <c r="E13" s="140"/>
      <c r="F13" s="140"/>
      <c r="G13" s="140"/>
      <c r="H13" s="140"/>
    </row>
    <row r="14" spans="2:8" s="139" customFormat="1" x14ac:dyDescent="0.25">
      <c r="B14" s="159" t="s">
        <v>74</v>
      </c>
      <c r="C14" s="159"/>
      <c r="D14" s="160">
        <v>15000000</v>
      </c>
      <c r="E14" s="140"/>
      <c r="F14" s="140"/>
      <c r="G14" s="140"/>
      <c r="H14" s="140"/>
    </row>
    <row r="15" spans="2:8" s="139" customFormat="1" x14ac:dyDescent="0.25">
      <c r="E15" s="161"/>
      <c r="G15" s="112"/>
      <c r="H15" s="112"/>
    </row>
    <row r="16" spans="2:8" s="139" customFormat="1" ht="15.75" x14ac:dyDescent="0.25">
      <c r="B16" s="190" t="s">
        <v>84</v>
      </c>
      <c r="C16" s="190"/>
      <c r="D16" s="190"/>
      <c r="E16" s="191"/>
      <c r="F16" s="190" t="s">
        <v>15</v>
      </c>
      <c r="G16" s="190"/>
      <c r="H16" s="190"/>
    </row>
    <row r="17" spans="1:9" s="139" customFormat="1" x14ac:dyDescent="0.25">
      <c r="B17" s="58" t="s">
        <v>62</v>
      </c>
      <c r="C17" s="58"/>
      <c r="D17" s="162">
        <f>IF(D6="Manual Input",D14,IF(D6="DCF Value",D18,IF(D6="Cap Year 1 NOI",H9/Exit_Cap_Yr_1,D19)))</f>
        <v>14745603.727765078</v>
      </c>
      <c r="E17" s="140"/>
      <c r="F17" s="58" t="s">
        <v>28</v>
      </c>
      <c r="G17" s="58"/>
      <c r="H17" s="163">
        <f>Purchase_Price*H25</f>
        <v>9584642.4230473004</v>
      </c>
      <c r="I17" s="164"/>
    </row>
    <row r="18" spans="1:9" s="139" customFormat="1" x14ac:dyDescent="0.25">
      <c r="B18" s="58" t="s">
        <v>73</v>
      </c>
      <c r="C18" s="58"/>
      <c r="D18" s="150">
        <f>NPV(Discount_Rate,'Property Returns'!$D$18:$R$18)</f>
        <v>14745603.727765078</v>
      </c>
      <c r="E18" s="140"/>
      <c r="F18" s="140" t="s">
        <v>80</v>
      </c>
      <c r="G18" s="140"/>
      <c r="H18" s="163">
        <f>Debt*'Property Summary'!H26</f>
        <v>95846.424230473</v>
      </c>
    </row>
    <row r="19" spans="1:9" s="139" customFormat="1" x14ac:dyDescent="0.25">
      <c r="B19" s="58" t="s">
        <v>63</v>
      </c>
      <c r="C19" s="58"/>
      <c r="D19" s="155">
        <f>'Property Summary'!D13*Property_SF</f>
        <v>15000000</v>
      </c>
      <c r="E19" s="140"/>
      <c r="F19" s="58" t="s">
        <v>76</v>
      </c>
      <c r="G19" s="58"/>
      <c r="H19" s="163">
        <f>Basis-Debt</f>
        <v>5554263.7662259005</v>
      </c>
    </row>
    <row r="20" spans="1:9" s="139" customFormat="1" ht="15.75" x14ac:dyDescent="0.25">
      <c r="B20" s="165"/>
      <c r="C20" s="165"/>
      <c r="D20" s="165"/>
      <c r="E20" s="140"/>
      <c r="F20" s="165"/>
      <c r="G20" s="165"/>
      <c r="H20" s="165"/>
      <c r="I20" s="164"/>
    </row>
    <row r="21" spans="1:9" s="139" customFormat="1" x14ac:dyDescent="0.25">
      <c r="B21" s="58" t="s">
        <v>58</v>
      </c>
      <c r="C21" s="58"/>
      <c r="D21" s="151">
        <f ca="1">HLOOKUP(Analysis_Period,'Property Returns'!$D$3:$T$39,18,FALSE)</f>
        <v>7.6356605007508627E-2</v>
      </c>
      <c r="E21" s="140"/>
      <c r="F21" s="58" t="s">
        <v>10</v>
      </c>
      <c r="G21" s="58"/>
      <c r="H21" s="157">
        <v>0.05</v>
      </c>
    </row>
    <row r="22" spans="1:9" s="139" customFormat="1" x14ac:dyDescent="0.25">
      <c r="B22" s="58" t="s">
        <v>38</v>
      </c>
      <c r="C22" s="58"/>
      <c r="D22" s="166">
        <f>HLOOKUP(Analysis_Period,'Property Returns'!$D$3:$T$39,19,FALSE)</f>
        <v>1.8198214317237478</v>
      </c>
      <c r="E22" s="140"/>
      <c r="F22" s="58" t="s">
        <v>11</v>
      </c>
      <c r="G22" s="58"/>
      <c r="H22" s="167">
        <v>3</v>
      </c>
    </row>
    <row r="23" spans="1:9" s="139" customFormat="1" x14ac:dyDescent="0.25">
      <c r="B23" s="58" t="s">
        <v>27</v>
      </c>
      <c r="C23" s="58"/>
      <c r="D23" s="151">
        <f>HLOOKUP(Analysis_Period,'Property Returns'!$D$3:$T$39,15,FALSE)</f>
        <v>6.480593699152315E-2</v>
      </c>
      <c r="E23" s="140"/>
      <c r="F23" s="58" t="s">
        <v>78</v>
      </c>
      <c r="G23" s="58"/>
      <c r="H23" s="168">
        <v>30</v>
      </c>
    </row>
    <row r="24" spans="1:9" s="139" customFormat="1" x14ac:dyDescent="0.25">
      <c r="B24" s="58"/>
      <c r="C24" s="58"/>
      <c r="D24" s="45"/>
      <c r="E24" s="140"/>
      <c r="F24" s="58" t="s">
        <v>13</v>
      </c>
      <c r="G24" s="58"/>
      <c r="H24" s="167">
        <v>10</v>
      </c>
    </row>
    <row r="25" spans="1:9" s="139" customFormat="1" x14ac:dyDescent="0.25">
      <c r="B25" s="58" t="s">
        <v>59</v>
      </c>
      <c r="C25" s="58"/>
      <c r="D25" s="151">
        <f ca="1">HLOOKUP(Analysis_Period,'Property Returns'!$D$3:$T$39,36,FALSE)</f>
        <v>0.10769873492159809</v>
      </c>
      <c r="E25" s="140"/>
      <c r="F25" s="58" t="s">
        <v>14</v>
      </c>
      <c r="G25" s="58"/>
      <c r="H25" s="157">
        <v>0.65</v>
      </c>
    </row>
    <row r="26" spans="1:9" s="139" customFormat="1" x14ac:dyDescent="0.25">
      <c r="B26" s="58" t="s">
        <v>39</v>
      </c>
      <c r="C26" s="58"/>
      <c r="D26" s="166">
        <f>HLOOKUP(Analysis_Period,'Property Returns'!$D$3:$T$39,37,FALSE)</f>
        <v>2.3419586737546139</v>
      </c>
      <c r="E26" s="140"/>
      <c r="F26" s="58" t="s">
        <v>79</v>
      </c>
      <c r="G26" s="58"/>
      <c r="H26" s="157">
        <v>0.01</v>
      </c>
    </row>
    <row r="27" spans="1:9" s="139" customFormat="1" x14ac:dyDescent="0.25">
      <c r="B27" s="58" t="s">
        <v>35</v>
      </c>
      <c r="C27" s="58"/>
      <c r="D27" s="151">
        <f>HLOOKUP(Analysis_Period,'Property Returns'!$D$3:$T$39,34,FALSE)</f>
        <v>6.6647231085401271E-2</v>
      </c>
      <c r="E27" s="140"/>
      <c r="F27" s="58"/>
      <c r="G27" s="58"/>
      <c r="H27" s="45"/>
    </row>
    <row r="28" spans="1:9" s="139" customFormat="1" x14ac:dyDescent="0.25">
      <c r="B28" s="58"/>
      <c r="C28" s="58"/>
      <c r="D28" s="45"/>
      <c r="E28" s="140"/>
      <c r="F28" s="58"/>
      <c r="G28" s="58"/>
      <c r="H28" s="45"/>
    </row>
    <row r="29" spans="1:9" s="139" customFormat="1" x14ac:dyDescent="0.25">
      <c r="B29" s="58" t="s">
        <v>177</v>
      </c>
      <c r="C29" s="58"/>
      <c r="D29" s="166">
        <f>MIN('Property Returns'!$D$27:$R$27)</f>
        <v>1.1700124217011509</v>
      </c>
      <c r="E29" s="140"/>
      <c r="F29" s="58"/>
      <c r="G29" s="58"/>
      <c r="H29" s="45"/>
    </row>
    <row r="30" spans="1:9" s="139" customFormat="1" x14ac:dyDescent="0.25">
      <c r="B30" s="58" t="s">
        <v>178</v>
      </c>
      <c r="C30" s="58"/>
      <c r="D30" s="151">
        <f>MIN('Property Returns'!$D$28:$R$28)</f>
        <v>8.3790729541358869E-2</v>
      </c>
      <c r="E30" s="140"/>
      <c r="F30" s="58"/>
      <c r="G30" s="58"/>
      <c r="H30" s="45"/>
    </row>
    <row r="31" spans="1:9" s="139" customFormat="1" x14ac:dyDescent="0.25">
      <c r="D31" s="112"/>
      <c r="E31" s="161"/>
      <c r="H31" s="112"/>
    </row>
    <row r="32" spans="1:9" s="169" customFormat="1" ht="15.75" x14ac:dyDescent="0.25">
      <c r="A32" s="139"/>
      <c r="B32" s="194" t="s">
        <v>89</v>
      </c>
      <c r="C32" s="194"/>
      <c r="D32" s="195" t="s">
        <v>88</v>
      </c>
      <c r="E32" s="191"/>
      <c r="F32" s="195" t="s">
        <v>133</v>
      </c>
      <c r="G32" s="194"/>
      <c r="H32" s="196"/>
    </row>
    <row r="33" spans="2:8" x14ac:dyDescent="0.25">
      <c r="B33" s="140" t="s">
        <v>49</v>
      </c>
      <c r="C33" s="140"/>
      <c r="D33" s="170">
        <f>'Investor Returns'!D26</f>
        <v>0.18262448395450503</v>
      </c>
      <c r="E33" s="140"/>
      <c r="F33" s="171">
        <f>'Investor Returns'!D19</f>
        <v>0.11176143924622517</v>
      </c>
      <c r="G33" s="140"/>
      <c r="H33" s="172"/>
    </row>
    <row r="34" spans="2:8" x14ac:dyDescent="0.25">
      <c r="B34" s="140" t="s">
        <v>90</v>
      </c>
      <c r="C34" s="140"/>
      <c r="D34" s="162">
        <f>'Investor Returns'!D23</f>
        <v>1213649.5417566784</v>
      </c>
      <c r="E34" s="140"/>
      <c r="F34" s="173">
        <f>'Investor Returns'!D16</f>
        <v>12736183.366294945</v>
      </c>
      <c r="G34" s="140"/>
      <c r="H34" s="172"/>
    </row>
    <row r="35" spans="2:8" x14ac:dyDescent="0.25">
      <c r="B35" s="140" t="s">
        <v>91</v>
      </c>
      <c r="C35" s="140"/>
      <c r="D35" s="162">
        <f>'Investor Returns'!D24</f>
        <v>282937.67790194741</v>
      </c>
      <c r="E35" s="140"/>
      <c r="F35" s="173">
        <f>'Investor Returns'!D17</f>
        <v>5375815.8801369891</v>
      </c>
      <c r="G35" s="140"/>
      <c r="H35" s="172"/>
    </row>
    <row r="36" spans="2:8" x14ac:dyDescent="0.25">
      <c r="B36" s="172" t="s">
        <v>92</v>
      </c>
      <c r="C36" s="172"/>
      <c r="D36" s="162">
        <f>'Investor Returns'!D25</f>
        <v>930711.86385473097</v>
      </c>
      <c r="E36" s="140"/>
      <c r="F36" s="173">
        <f>'Investor Returns'!D18</f>
        <v>7360367.4861579556</v>
      </c>
      <c r="G36" s="140"/>
      <c r="H36" s="172"/>
    </row>
    <row r="37" spans="2:8" x14ac:dyDescent="0.25">
      <c r="B37" s="140" t="s">
        <v>93</v>
      </c>
      <c r="C37" s="140"/>
      <c r="D37" s="174">
        <f>'Investor Returns'!D27</f>
        <v>4.2894589040109068</v>
      </c>
      <c r="E37" s="140"/>
      <c r="F37" s="175">
        <f>'Investor Returns'!D20</f>
        <v>2.3691628676037162</v>
      </c>
      <c r="G37" s="140"/>
      <c r="H37" s="172"/>
    </row>
    <row r="38" spans="2:8" x14ac:dyDescent="0.25">
      <c r="B38" s="176"/>
      <c r="C38" s="176"/>
      <c r="D38" s="177"/>
    </row>
    <row r="39" spans="2:8" x14ac:dyDescent="0.25">
      <c r="B39" s="176"/>
      <c r="C39" s="176"/>
      <c r="D39" s="179"/>
    </row>
    <row r="40" spans="2:8" x14ac:dyDescent="0.25">
      <c r="B40" s="176"/>
      <c r="C40" s="176"/>
      <c r="D40" s="180"/>
    </row>
    <row r="41" spans="2:8" x14ac:dyDescent="0.25">
      <c r="B41" s="176"/>
      <c r="C41" s="176"/>
      <c r="D41" s="179"/>
    </row>
    <row r="42" spans="2:8" x14ac:dyDescent="0.25">
      <c r="B42" s="176"/>
      <c r="C42" s="176"/>
      <c r="D42" s="177"/>
    </row>
    <row r="43" spans="2:8" x14ac:dyDescent="0.25">
      <c r="B43" s="176"/>
      <c r="C43" s="176"/>
      <c r="D43" s="179"/>
    </row>
    <row r="44" spans="2:8" x14ac:dyDescent="0.25">
      <c r="B44" s="176"/>
      <c r="C44" s="176"/>
      <c r="D44" s="180"/>
    </row>
    <row r="45" spans="2:8" x14ac:dyDescent="0.25">
      <c r="B45" s="176"/>
      <c r="C45" s="176"/>
      <c r="D45" s="177"/>
    </row>
    <row r="46" spans="2:8" x14ac:dyDescent="0.25">
      <c r="B46" s="176"/>
      <c r="C46" s="176"/>
      <c r="D46" s="179"/>
    </row>
  </sheetData>
  <mergeCells count="3">
    <mergeCell ref="B2:D2"/>
    <mergeCell ref="B16:D16"/>
    <mergeCell ref="F16:H16"/>
  </mergeCells>
  <conditionalFormatting sqref="H3">
    <cfRule type="expression" dxfId="41" priority="21">
      <formula>$B3&lt;&gt;""</formula>
    </cfRule>
  </conditionalFormatting>
  <conditionalFormatting sqref="D18">
    <cfRule type="expression" dxfId="40" priority="17">
      <formula>$B18&lt;&gt;""</formula>
    </cfRule>
  </conditionalFormatting>
  <conditionalFormatting sqref="H21">
    <cfRule type="expression" dxfId="39" priority="15">
      <formula>$B22&lt;&gt;""</formula>
    </cfRule>
  </conditionalFormatting>
  <conditionalFormatting sqref="H22">
    <cfRule type="expression" dxfId="38" priority="14">
      <formula>$B23&lt;&gt;""</formula>
    </cfRule>
  </conditionalFormatting>
  <conditionalFormatting sqref="H23">
    <cfRule type="expression" dxfId="37" priority="13">
      <formula>$B24&lt;&gt;""</formula>
    </cfRule>
  </conditionalFormatting>
  <conditionalFormatting sqref="H24">
    <cfRule type="expression" dxfId="36" priority="12">
      <formula>$B25&lt;&gt;""</formula>
    </cfRule>
  </conditionalFormatting>
  <conditionalFormatting sqref="H25">
    <cfRule type="expression" dxfId="35" priority="11">
      <formula>$B26&lt;&gt;""</formula>
    </cfRule>
  </conditionalFormatting>
  <conditionalFormatting sqref="H26">
    <cfRule type="expression" dxfId="34" priority="10">
      <formula>$B27&lt;&gt;""</formula>
    </cfRule>
  </conditionalFormatting>
  <conditionalFormatting sqref="D14">
    <cfRule type="expression" dxfId="33" priority="8">
      <formula>$D$6="Manual Input"</formula>
    </cfRule>
  </conditionalFormatting>
  <conditionalFormatting sqref="B14:C14">
    <cfRule type="expression" dxfId="32" priority="7">
      <formula>$D$6="Manual Input"</formula>
    </cfRule>
  </conditionalFormatting>
  <conditionalFormatting sqref="F18:G18">
    <cfRule type="expression" dxfId="31" priority="27">
      <formula>$D$6="Portfolio Level"</formula>
    </cfRule>
  </conditionalFormatting>
  <conditionalFormatting sqref="H4:H5">
    <cfRule type="expression" dxfId="30" priority="28">
      <formula>$B7&lt;&gt;""</formula>
    </cfRule>
  </conditionalFormatting>
  <conditionalFormatting sqref="H6 H12">
    <cfRule type="expression" dxfId="29" priority="29">
      <formula>$B8&lt;&gt;""</formula>
    </cfRule>
  </conditionalFormatting>
  <dataValidations count="3">
    <dataValidation type="whole" allowBlank="1" showInputMessage="1" showErrorMessage="1" errorTitle="Invalid Year" error="Mininum of 1 year._x000a_Maximum of 15 years." sqref="D8">
      <formula1>1</formula1>
      <formula2>15</formula2>
    </dataValidation>
    <dataValidation type="list" allowBlank="1" showInputMessage="1" showErrorMessage="1" sqref="D6">
      <formula1>"Manual Input, DCF Value, Cap Year 1 NOI, Replacement Cost"</formula1>
    </dataValidation>
    <dataValidation type="decimal" operator="greaterThan" allowBlank="1" showInputMessage="1" showErrorMessage="1" sqref="D13">
      <formula1>0</formula1>
    </dataValidation>
  </dataValidations>
  <pageMargins left="0.7" right="0.7" top="0.75" bottom="0.75" header="0.3" footer="0.3"/>
  <pageSetup scale="92" orientation="portrait" horizontalDpi="4294967294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C6"/>
  <sheetViews>
    <sheetView showGridLines="0" zoomScale="85" zoomScaleNormal="85" zoomScaleSheetLayoutView="85" workbookViewId="0">
      <selection activeCell="C5" sqref="C5"/>
    </sheetView>
  </sheetViews>
  <sheetFormatPr defaultRowHeight="15" x14ac:dyDescent="0.25"/>
  <cols>
    <col min="1" max="1" width="2.7109375" customWidth="1"/>
    <col min="2" max="2" width="2.85546875" hidden="1" customWidth="1"/>
    <col min="3" max="3" width="24" bestFit="1" customWidth="1"/>
    <col min="4" max="4" width="12.85546875" bestFit="1" customWidth="1"/>
    <col min="5" max="5" width="11.42578125" bestFit="1" customWidth="1"/>
    <col min="6" max="6" width="7.140625" bestFit="1" customWidth="1"/>
    <col min="7" max="7" width="12.7109375" hidden="1" customWidth="1"/>
    <col min="8" max="8" width="8.7109375" bestFit="1" customWidth="1"/>
    <col min="9" max="9" width="8.42578125" bestFit="1" customWidth="1"/>
    <col min="10" max="10" width="12.85546875" bestFit="1" customWidth="1"/>
    <col min="11" max="11" width="10.28515625" customWidth="1"/>
    <col min="12" max="12" width="12.85546875" bestFit="1" customWidth="1"/>
    <col min="13" max="13" width="14.28515625" bestFit="1" customWidth="1"/>
    <col min="14" max="14" width="12.140625" bestFit="1" customWidth="1"/>
    <col min="15" max="15" width="12.140625" customWidth="1"/>
    <col min="16" max="17" width="10.7109375" bestFit="1" customWidth="1"/>
    <col min="18" max="18" width="8.5703125" bestFit="1" customWidth="1"/>
    <col min="19" max="19" width="7.140625" customWidth="1"/>
    <col min="20" max="20" width="13.140625" hidden="1" customWidth="1"/>
    <col min="21" max="21" width="10.85546875" bestFit="1" customWidth="1"/>
    <col min="22" max="22" width="8.5703125" hidden="1" customWidth="1"/>
    <col min="24" max="24" width="2.7109375" customWidth="1"/>
    <col min="25" max="25" width="10.85546875" style="6" customWidth="1"/>
    <col min="26" max="26" width="11.85546875" style="6" bestFit="1" customWidth="1"/>
    <col min="27" max="27" width="8.7109375" style="6" bestFit="1" customWidth="1"/>
    <col min="28" max="28" width="8.42578125" style="6" bestFit="1" customWidth="1"/>
    <col min="29" max="29" width="9" style="6" bestFit="1" customWidth="1"/>
    <col min="30" max="30" width="11.7109375" bestFit="1" customWidth="1"/>
    <col min="31" max="31" width="12.42578125" bestFit="1" customWidth="1"/>
    <col min="32" max="32" width="9.140625" bestFit="1" customWidth="1"/>
    <col min="33" max="33" width="11.42578125" bestFit="1" customWidth="1"/>
    <col min="34" max="34" width="7.5703125" bestFit="1" customWidth="1"/>
    <col min="35" max="35" width="7.140625" customWidth="1"/>
    <col min="36" max="36" width="11.7109375" bestFit="1" customWidth="1"/>
  </cols>
  <sheetData>
    <row r="1" spans="1:29" x14ac:dyDescent="0.25">
      <c r="J1" s="7"/>
      <c r="T1" s="7"/>
      <c r="Y1"/>
      <c r="Z1"/>
      <c r="AA1"/>
      <c r="AB1"/>
      <c r="AC1"/>
    </row>
    <row r="2" spans="1:29" ht="15.75" x14ac:dyDescent="0.25">
      <c r="B2" s="4"/>
      <c r="C2" s="5" t="s">
        <v>5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4"/>
      <c r="S2" s="4"/>
      <c r="T2" s="4"/>
      <c r="U2" s="4"/>
      <c r="V2" s="4"/>
      <c r="W2" s="4"/>
      <c r="Z2"/>
      <c r="AA2"/>
      <c r="AB2"/>
      <c r="AC2"/>
    </row>
    <row r="3" spans="1:29" x14ac:dyDescent="0.25">
      <c r="A3" s="2"/>
      <c r="B3" s="189" t="s">
        <v>5</v>
      </c>
      <c r="C3" s="189"/>
      <c r="D3" s="189"/>
      <c r="E3" s="189"/>
      <c r="F3" s="189"/>
      <c r="G3" s="189" t="s">
        <v>9</v>
      </c>
      <c r="H3" s="189"/>
      <c r="I3" s="189"/>
      <c r="J3" s="189"/>
      <c r="K3" s="189"/>
      <c r="L3" s="189" t="s">
        <v>15</v>
      </c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Z3"/>
      <c r="AA3"/>
      <c r="AB3"/>
      <c r="AC3"/>
    </row>
    <row r="4" spans="1:29" s="1" customFormat="1" ht="30" x14ac:dyDescent="0.25">
      <c r="A4" s="2"/>
      <c r="B4" s="22" t="s">
        <v>0</v>
      </c>
      <c r="C4" s="32" t="s">
        <v>1</v>
      </c>
      <c r="D4" s="33" t="s">
        <v>3</v>
      </c>
      <c r="E4" s="33" t="s">
        <v>2</v>
      </c>
      <c r="F4" s="33" t="s">
        <v>4</v>
      </c>
      <c r="G4" s="33" t="s">
        <v>6</v>
      </c>
      <c r="H4" s="33" t="s">
        <v>7</v>
      </c>
      <c r="I4" s="33" t="s">
        <v>8</v>
      </c>
      <c r="J4" s="33" t="s">
        <v>81</v>
      </c>
      <c r="K4" s="33" t="s">
        <v>82</v>
      </c>
      <c r="L4" s="33" t="s">
        <v>10</v>
      </c>
      <c r="M4" s="33" t="s">
        <v>42</v>
      </c>
      <c r="N4" s="33" t="s">
        <v>43</v>
      </c>
      <c r="O4" s="33" t="s">
        <v>44</v>
      </c>
      <c r="P4" s="33" t="s">
        <v>11</v>
      </c>
      <c r="Q4" s="33" t="s">
        <v>12</v>
      </c>
      <c r="R4" s="33" t="s">
        <v>13</v>
      </c>
      <c r="S4" s="33" t="s">
        <v>14</v>
      </c>
      <c r="T4" s="33" t="s">
        <v>53</v>
      </c>
      <c r="U4" s="33" t="s">
        <v>45</v>
      </c>
      <c r="V4" s="33"/>
      <c r="W4" s="33" t="s">
        <v>83</v>
      </c>
    </row>
    <row r="5" spans="1:29" x14ac:dyDescent="0.25">
      <c r="A5" s="21"/>
      <c r="B5" s="23">
        <v>1</v>
      </c>
      <c r="C5" s="30" t="str">
        <f>Name</f>
        <v>Hiland Office</v>
      </c>
      <c r="D5" s="4" t="str">
        <f>'Property Summary'!D4</f>
        <v>Hiland, WI</v>
      </c>
      <c r="E5" s="31">
        <f>'Property Summary'!D5</f>
        <v>0.9</v>
      </c>
      <c r="F5" s="34" t="e">
        <f>'Property Summary'!#REF!</f>
        <v>#REF!</v>
      </c>
      <c r="G5" s="24">
        <v>15000000</v>
      </c>
      <c r="H5" s="25">
        <f>'Property Returns'!D7/Purchase_Price</f>
        <v>7.7512594336700963E-2</v>
      </c>
      <c r="I5" s="26">
        <f>IF(G5="","",G5/'Property Summary'!D5)</f>
        <v>16666666.666666666</v>
      </c>
      <c r="J5" s="27">
        <f>IF(B5="","",T5-O5+(O5*W5))</f>
        <v>5647500</v>
      </c>
      <c r="K5" s="35">
        <f>'Property Summary'!H5</f>
        <v>0.01</v>
      </c>
      <c r="L5" s="37">
        <f>'Property Summary'!H21</f>
        <v>0.05</v>
      </c>
      <c r="M5" s="28">
        <f t="shared" ref="M5" si="0">IF(B5="","",-PMT(L5/12,(Q5-P5)*12,O5)*12)</f>
        <v>658755.63130223611</v>
      </c>
      <c r="N5" s="29">
        <f t="shared" ref="N5" si="1">IF(B5="","",O5*L5)</f>
        <v>487500</v>
      </c>
      <c r="O5" s="29">
        <f t="shared" ref="O5" si="2">IF(C5="","",S5*G5)</f>
        <v>9750000</v>
      </c>
      <c r="P5" s="36">
        <f>'Property Summary'!H22</f>
        <v>3</v>
      </c>
      <c r="Q5" s="36">
        <f>'Property Summary'!H23</f>
        <v>30</v>
      </c>
      <c r="R5" s="36">
        <f>'Property Summary'!H24</f>
        <v>10</v>
      </c>
      <c r="S5" s="25">
        <f>'Property Summary'!H25</f>
        <v>0.65</v>
      </c>
      <c r="T5" s="29">
        <f>IF(B5="","",G5+(G5*K5)+U5)</f>
        <v>15300000</v>
      </c>
      <c r="U5" s="29">
        <f>'Property Summary'!H4</f>
        <v>150000</v>
      </c>
      <c r="V5" s="29"/>
      <c r="W5" s="35">
        <f>'Property Summary'!H26</f>
        <v>0.01</v>
      </c>
      <c r="Z5"/>
      <c r="AA5"/>
      <c r="AB5"/>
      <c r="AC5"/>
    </row>
    <row r="6" spans="1:29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</sheetData>
  <mergeCells count="3">
    <mergeCell ref="B3:F3"/>
    <mergeCell ref="G3:K3"/>
    <mergeCell ref="L3:W3"/>
  </mergeCells>
  <pageMargins left="0.7" right="0.7" top="0.75" bottom="0.75" header="0.3" footer="0.3"/>
  <pageSetup scale="38" orientation="portrait" horizontalDpi="4294967294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2:AA83"/>
  <sheetViews>
    <sheetView showGridLines="0" zoomScale="85" zoomScaleNormal="85" zoomScaleSheetLayoutView="85" workbookViewId="0"/>
  </sheetViews>
  <sheetFormatPr defaultRowHeight="15" x14ac:dyDescent="0.25"/>
  <cols>
    <col min="1" max="1" width="2.85546875" style="53" customWidth="1"/>
    <col min="2" max="2" width="19.85546875" style="53" customWidth="1"/>
    <col min="3" max="3" width="6.140625" style="53" bestFit="1" customWidth="1"/>
    <col min="4" max="4" width="16.140625" style="53" bestFit="1" customWidth="1"/>
    <col min="5" max="5" width="20.42578125" style="53" customWidth="1"/>
    <col min="6" max="6" width="16.42578125" style="55" bestFit="1" customWidth="1"/>
    <col min="7" max="7" width="10.28515625" style="55" bestFit="1" customWidth="1"/>
    <col min="8" max="15" width="12.7109375" style="55" bestFit="1" customWidth="1"/>
    <col min="16" max="16" width="13.85546875" style="55" bestFit="1" customWidth="1"/>
    <col min="17" max="17" width="10.85546875" style="53" bestFit="1" customWidth="1"/>
    <col min="18" max="22" width="8.42578125" style="53" bestFit="1" customWidth="1"/>
    <col min="23" max="16384" width="9.140625" style="53"/>
  </cols>
  <sheetData>
    <row r="2" spans="2:22" ht="15.75" x14ac:dyDescent="0.25">
      <c r="B2" s="105" t="s">
        <v>85</v>
      </c>
      <c r="C2" s="106"/>
      <c r="D2" s="106"/>
      <c r="E2" s="106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4" spans="2:22" ht="15.75" x14ac:dyDescent="0.25">
      <c r="B4" s="108" t="s">
        <v>86</v>
      </c>
      <c r="C4" s="89" t="s">
        <v>103</v>
      </c>
      <c r="D4" s="89" t="s">
        <v>104</v>
      </c>
      <c r="F4" s="109"/>
    </row>
    <row r="5" spans="2:22" x14ac:dyDescent="0.25">
      <c r="B5" s="39" t="s">
        <v>88</v>
      </c>
      <c r="C5" s="110">
        <v>0.05</v>
      </c>
      <c r="D5" s="111">
        <f>C5*Equity</f>
        <v>277713.18831129506</v>
      </c>
      <c r="F5" s="112"/>
      <c r="G5" s="113"/>
    </row>
    <row r="6" spans="2:22" x14ac:dyDescent="0.25">
      <c r="B6" s="39" t="s">
        <v>87</v>
      </c>
      <c r="C6" s="114">
        <f>1-C5</f>
        <v>0.95</v>
      </c>
      <c r="D6" s="111">
        <f>C6*Equity</f>
        <v>5276550.5779146049</v>
      </c>
      <c r="F6" s="112"/>
      <c r="G6" s="113"/>
    </row>
    <row r="8" spans="2:22" ht="15.75" x14ac:dyDescent="0.25">
      <c r="B8" s="108" t="s">
        <v>94</v>
      </c>
      <c r="C8" s="115"/>
      <c r="D8" s="115"/>
      <c r="E8" s="115"/>
      <c r="F8" s="89" t="s">
        <v>100</v>
      </c>
      <c r="G8" s="89" t="s">
        <v>99</v>
      </c>
      <c r="H8" s="89" t="s">
        <v>101</v>
      </c>
      <c r="I8" s="89" t="s">
        <v>102</v>
      </c>
    </row>
    <row r="9" spans="2:22" x14ac:dyDescent="0.25">
      <c r="B9" s="39" t="s">
        <v>108</v>
      </c>
      <c r="C9" s="39"/>
      <c r="D9" s="39"/>
      <c r="E9" s="116">
        <f>D10</f>
        <v>0.08</v>
      </c>
      <c r="F9" s="117">
        <v>0</v>
      </c>
      <c r="G9" s="118">
        <f>1-F9</f>
        <v>1</v>
      </c>
      <c r="H9" s="119">
        <f>1-I9</f>
        <v>5.0000000000000044E-2</v>
      </c>
      <c r="I9" s="119">
        <f>G9*$C$6</f>
        <v>0.95</v>
      </c>
    </row>
    <row r="10" spans="2:22" x14ac:dyDescent="0.25">
      <c r="B10" s="39" t="s">
        <v>96</v>
      </c>
      <c r="C10" s="39"/>
      <c r="D10" s="120">
        <v>0.08</v>
      </c>
      <c r="E10" s="121">
        <f>D11</f>
        <v>0.12</v>
      </c>
      <c r="F10" s="117">
        <v>0.15</v>
      </c>
      <c r="G10" s="118">
        <f t="shared" ref="G10:G12" si="0">1-F10</f>
        <v>0.85</v>
      </c>
      <c r="H10" s="119">
        <f t="shared" ref="H10:H12" si="1">1-I10</f>
        <v>0.1925</v>
      </c>
      <c r="I10" s="119">
        <f>G10*$C$6</f>
        <v>0.8075</v>
      </c>
    </row>
    <row r="11" spans="2:22" x14ac:dyDescent="0.25">
      <c r="B11" s="39" t="s">
        <v>97</v>
      </c>
      <c r="C11" s="39"/>
      <c r="D11" s="120">
        <v>0.12</v>
      </c>
      <c r="E11" s="121">
        <f>D12</f>
        <v>0.16</v>
      </c>
      <c r="F11" s="117">
        <v>0.25</v>
      </c>
      <c r="G11" s="118">
        <f t="shared" si="0"/>
        <v>0.75</v>
      </c>
      <c r="H11" s="119">
        <f t="shared" si="1"/>
        <v>0.28750000000000009</v>
      </c>
      <c r="I11" s="119">
        <f>G11*$C$6</f>
        <v>0.71249999999999991</v>
      </c>
    </row>
    <row r="12" spans="2:22" x14ac:dyDescent="0.25">
      <c r="B12" s="39" t="s">
        <v>98</v>
      </c>
      <c r="C12" s="39"/>
      <c r="D12" s="120">
        <v>0.16</v>
      </c>
      <c r="E12" s="121"/>
      <c r="F12" s="117">
        <v>0.4</v>
      </c>
      <c r="G12" s="118">
        <f t="shared" si="0"/>
        <v>0.6</v>
      </c>
      <c r="H12" s="119">
        <f t="shared" si="1"/>
        <v>0.43000000000000005</v>
      </c>
      <c r="I12" s="119">
        <f>G12*$C$6</f>
        <v>0.56999999999999995</v>
      </c>
    </row>
    <row r="13" spans="2:22" s="40" customFormat="1" x14ac:dyDescent="0.25">
      <c r="D13" s="122"/>
      <c r="E13" s="123"/>
      <c r="F13" s="124"/>
      <c r="G13" s="125"/>
      <c r="H13" s="126"/>
      <c r="I13" s="126"/>
      <c r="J13" s="44"/>
      <c r="K13" s="44"/>
      <c r="L13" s="44"/>
      <c r="M13" s="44"/>
      <c r="N13" s="44"/>
      <c r="O13" s="44"/>
      <c r="P13" s="44"/>
    </row>
    <row r="14" spans="2:22" s="40" customFormat="1" ht="15.75" x14ac:dyDescent="0.25">
      <c r="B14" s="38" t="s">
        <v>119</v>
      </c>
      <c r="C14" s="39"/>
      <c r="D14" s="120"/>
      <c r="E14" s="121"/>
      <c r="F14" s="41" t="s">
        <v>106</v>
      </c>
      <c r="G14" s="42">
        <v>1</v>
      </c>
      <c r="H14" s="42">
        <f t="shared" ref="H14:V14" si="2">IF(OR(G14="",G14=Analysis_Period),"",G14+1)</f>
        <v>2</v>
      </c>
      <c r="I14" s="42">
        <f t="shared" si="2"/>
        <v>3</v>
      </c>
      <c r="J14" s="42">
        <f t="shared" si="2"/>
        <v>4</v>
      </c>
      <c r="K14" s="42">
        <f t="shared" si="2"/>
        <v>5</v>
      </c>
      <c r="L14" s="42">
        <f t="shared" si="2"/>
        <v>6</v>
      </c>
      <c r="M14" s="42">
        <f t="shared" si="2"/>
        <v>7</v>
      </c>
      <c r="N14" s="42">
        <f t="shared" si="2"/>
        <v>8</v>
      </c>
      <c r="O14" s="42">
        <f t="shared" si="2"/>
        <v>9</v>
      </c>
      <c r="P14" s="42">
        <f t="shared" si="2"/>
        <v>10</v>
      </c>
      <c r="Q14" s="42" t="str">
        <f t="shared" si="2"/>
        <v/>
      </c>
      <c r="R14" s="42" t="str">
        <f t="shared" si="2"/>
        <v/>
      </c>
      <c r="S14" s="42" t="str">
        <f t="shared" si="2"/>
        <v/>
      </c>
      <c r="T14" s="42" t="str">
        <f t="shared" si="2"/>
        <v/>
      </c>
      <c r="U14" s="42" t="str">
        <f t="shared" si="2"/>
        <v/>
      </c>
      <c r="V14" s="42" t="str">
        <f t="shared" si="2"/>
        <v/>
      </c>
    </row>
    <row r="15" spans="2:22" s="40" customFormat="1" x14ac:dyDescent="0.25">
      <c r="B15" s="127" t="s">
        <v>127</v>
      </c>
      <c r="C15" s="39"/>
      <c r="D15" s="120"/>
      <c r="E15" s="121"/>
      <c r="F15" s="117"/>
      <c r="G15" s="118"/>
      <c r="H15" s="119"/>
      <c r="I15" s="119"/>
      <c r="J15" s="41"/>
      <c r="K15" s="41"/>
      <c r="L15" s="41"/>
      <c r="M15" s="41"/>
      <c r="N15" s="41"/>
      <c r="O15" s="41"/>
      <c r="P15" s="41"/>
      <c r="Q15" s="39"/>
      <c r="R15" s="39"/>
      <c r="S15" s="39"/>
      <c r="T15" s="39"/>
      <c r="U15" s="39"/>
    </row>
    <row r="16" spans="2:22" s="40" customFormat="1" x14ac:dyDescent="0.25">
      <c r="B16" s="50" t="s">
        <v>120</v>
      </c>
      <c r="C16" s="39"/>
      <c r="D16" s="128">
        <f>SUM(F16:V16)</f>
        <v>12736183.366294945</v>
      </c>
      <c r="E16" s="121"/>
      <c r="F16" s="129">
        <f>IF(F14="","",F43+F58+F73+F80)</f>
        <v>0</v>
      </c>
      <c r="G16" s="129">
        <f>IF(G14="","",G43+G58+G73+G80)</f>
        <v>432696.5</v>
      </c>
      <c r="H16" s="129">
        <f t="shared" ref="H16:V16" si="3">IF(H14="","",H43+H58+H73+H80)</f>
        <v>468858.62999999989</v>
      </c>
      <c r="I16" s="129">
        <f t="shared" si="3"/>
        <v>486939.87359999993</v>
      </c>
      <c r="J16" s="129">
        <f t="shared" si="3"/>
        <v>342684.30804487574</v>
      </c>
      <c r="K16" s="129">
        <f t="shared" si="3"/>
        <v>0</v>
      </c>
      <c r="L16" s="129">
        <f t="shared" si="3"/>
        <v>380655.39877078193</v>
      </c>
      <c r="M16" s="129">
        <f t="shared" si="3"/>
        <v>400203.7602842396</v>
      </c>
      <c r="N16" s="129">
        <f t="shared" si="3"/>
        <v>420137.27799339948</v>
      </c>
      <c r="O16" s="129">
        <f t="shared" si="3"/>
        <v>440463.59691182943</v>
      </c>
      <c r="P16" s="129">
        <f t="shared" si="3"/>
        <v>9363544.020689819</v>
      </c>
      <c r="Q16" s="129" t="str">
        <f t="shared" si="3"/>
        <v/>
      </c>
      <c r="R16" s="129" t="str">
        <f t="shared" si="3"/>
        <v/>
      </c>
      <c r="S16" s="129" t="str">
        <f t="shared" si="3"/>
        <v/>
      </c>
      <c r="T16" s="129" t="str">
        <f t="shared" si="3"/>
        <v/>
      </c>
      <c r="U16" s="129" t="str">
        <f t="shared" si="3"/>
        <v/>
      </c>
      <c r="V16" s="130" t="str">
        <f t="shared" si="3"/>
        <v/>
      </c>
    </row>
    <row r="17" spans="2:27" s="40" customFormat="1" x14ac:dyDescent="0.25">
      <c r="B17" s="50" t="s">
        <v>123</v>
      </c>
      <c r="C17" s="39"/>
      <c r="D17" s="128">
        <f>SUM(F17:V17)</f>
        <v>5375815.8801369891</v>
      </c>
      <c r="E17" s="121"/>
      <c r="F17" s="129">
        <f>F38</f>
        <v>5276550.5779146049</v>
      </c>
      <c r="G17" s="129">
        <f t="shared" ref="G17:U17" si="4">G38</f>
        <v>0</v>
      </c>
      <c r="H17" s="129">
        <f t="shared" si="4"/>
        <v>0</v>
      </c>
      <c r="I17" s="129">
        <f t="shared" si="4"/>
        <v>0</v>
      </c>
      <c r="J17" s="129">
        <f t="shared" si="4"/>
        <v>0</v>
      </c>
      <c r="K17" s="129">
        <f t="shared" si="4"/>
        <v>99265.302222384606</v>
      </c>
      <c r="L17" s="129">
        <f t="shared" si="4"/>
        <v>0</v>
      </c>
      <c r="M17" s="129">
        <f t="shared" si="4"/>
        <v>0</v>
      </c>
      <c r="N17" s="129">
        <f t="shared" si="4"/>
        <v>0</v>
      </c>
      <c r="O17" s="129">
        <f t="shared" si="4"/>
        <v>0</v>
      </c>
      <c r="P17" s="129">
        <f t="shared" si="4"/>
        <v>0</v>
      </c>
      <c r="Q17" s="129" t="str">
        <f t="shared" si="4"/>
        <v/>
      </c>
      <c r="R17" s="129" t="str">
        <f t="shared" si="4"/>
        <v/>
      </c>
      <c r="S17" s="129" t="str">
        <f t="shared" si="4"/>
        <v/>
      </c>
      <c r="T17" s="129" t="str">
        <f t="shared" si="4"/>
        <v/>
      </c>
      <c r="U17" s="129" t="str">
        <f t="shared" si="4"/>
        <v/>
      </c>
      <c r="V17" s="130"/>
    </row>
    <row r="18" spans="2:27" s="40" customFormat="1" x14ac:dyDescent="0.25">
      <c r="B18" s="50" t="s">
        <v>124</v>
      </c>
      <c r="C18" s="39"/>
      <c r="D18" s="128">
        <f>D16-D17</f>
        <v>7360367.4861579556</v>
      </c>
      <c r="E18" s="121"/>
      <c r="F18" s="117"/>
      <c r="G18" s="118"/>
      <c r="H18" s="119"/>
      <c r="I18" s="119"/>
      <c r="J18" s="41"/>
      <c r="K18" s="41"/>
      <c r="L18" s="41"/>
      <c r="M18" s="41"/>
      <c r="N18" s="41"/>
      <c r="O18" s="41"/>
      <c r="P18" s="41"/>
      <c r="Q18" s="39"/>
      <c r="R18" s="39"/>
      <c r="S18" s="39"/>
      <c r="T18" s="39"/>
      <c r="U18" s="39"/>
    </row>
    <row r="19" spans="2:27" s="40" customFormat="1" x14ac:dyDescent="0.25">
      <c r="B19" s="50" t="s">
        <v>122</v>
      </c>
      <c r="C19" s="39"/>
      <c r="D19" s="103">
        <f>IRR(F19:V19)</f>
        <v>0.11176143924622517</v>
      </c>
      <c r="E19" s="121"/>
      <c r="F19" s="129">
        <f>IF(F14="","",(-F17)+F16)</f>
        <v>-5276550.5779146049</v>
      </c>
      <c r="G19" s="129">
        <f t="shared" ref="G19:V19" si="5">IF(G14="","",(-G17)+G16)</f>
        <v>432696.5</v>
      </c>
      <c r="H19" s="129">
        <f t="shared" si="5"/>
        <v>468858.62999999989</v>
      </c>
      <c r="I19" s="129">
        <f t="shared" si="5"/>
        <v>486939.87359999993</v>
      </c>
      <c r="J19" s="129">
        <f t="shared" si="5"/>
        <v>342684.30804487574</v>
      </c>
      <c r="K19" s="129">
        <f t="shared" si="5"/>
        <v>-99265.302222384606</v>
      </c>
      <c r="L19" s="129">
        <f t="shared" si="5"/>
        <v>380655.39877078193</v>
      </c>
      <c r="M19" s="129">
        <f t="shared" si="5"/>
        <v>400203.7602842396</v>
      </c>
      <c r="N19" s="129">
        <f t="shared" si="5"/>
        <v>420137.27799339948</v>
      </c>
      <c r="O19" s="129">
        <f t="shared" si="5"/>
        <v>440463.59691182943</v>
      </c>
      <c r="P19" s="129">
        <f t="shared" si="5"/>
        <v>9363544.020689819</v>
      </c>
      <c r="Q19" s="129" t="str">
        <f t="shared" si="5"/>
        <v/>
      </c>
      <c r="R19" s="129" t="str">
        <f t="shared" si="5"/>
        <v/>
      </c>
      <c r="S19" s="129" t="str">
        <f t="shared" si="5"/>
        <v/>
      </c>
      <c r="T19" s="129" t="str">
        <f t="shared" si="5"/>
        <v/>
      </c>
      <c r="U19" s="129" t="str">
        <f t="shared" si="5"/>
        <v/>
      </c>
      <c r="V19" s="130" t="str">
        <f t="shared" si="5"/>
        <v/>
      </c>
    </row>
    <row r="20" spans="2:27" s="40" customFormat="1" x14ac:dyDescent="0.25">
      <c r="B20" s="50" t="s">
        <v>125</v>
      </c>
      <c r="C20" s="39"/>
      <c r="D20" s="131">
        <f>D16/D17</f>
        <v>2.3691628676037162</v>
      </c>
      <c r="E20" s="121"/>
      <c r="F20" s="117"/>
      <c r="G20" s="118"/>
      <c r="H20" s="119"/>
      <c r="I20" s="119"/>
      <c r="J20" s="41"/>
      <c r="K20" s="41"/>
      <c r="L20" s="41"/>
      <c r="M20" s="41"/>
      <c r="N20" s="41"/>
      <c r="O20" s="41"/>
      <c r="P20" s="41"/>
      <c r="Q20" s="39"/>
      <c r="R20" s="39"/>
      <c r="S20" s="39"/>
      <c r="T20" s="39"/>
      <c r="U20" s="39"/>
    </row>
    <row r="21" spans="2:27" s="40" customFormat="1" x14ac:dyDescent="0.25">
      <c r="B21" s="50"/>
      <c r="C21" s="39"/>
      <c r="D21" s="120"/>
      <c r="E21" s="121"/>
      <c r="F21" s="117"/>
      <c r="G21" s="118"/>
      <c r="H21" s="119"/>
      <c r="I21" s="119"/>
      <c r="J21" s="41"/>
      <c r="K21" s="41"/>
      <c r="L21" s="41"/>
      <c r="M21" s="41"/>
      <c r="N21" s="41"/>
      <c r="O21" s="41"/>
      <c r="P21" s="41"/>
      <c r="Q21" s="39"/>
      <c r="R21" s="39"/>
      <c r="S21" s="39"/>
      <c r="T21" s="39"/>
      <c r="U21" s="39"/>
    </row>
    <row r="22" spans="2:27" s="40" customFormat="1" x14ac:dyDescent="0.25">
      <c r="B22" s="127" t="s">
        <v>126</v>
      </c>
      <c r="C22" s="39"/>
      <c r="D22" s="120"/>
      <c r="E22" s="121"/>
      <c r="F22" s="117"/>
      <c r="G22" s="118"/>
      <c r="H22" s="119"/>
      <c r="I22" s="119"/>
      <c r="J22" s="41"/>
      <c r="K22" s="41"/>
      <c r="L22" s="41"/>
      <c r="M22" s="41"/>
      <c r="N22" s="41"/>
      <c r="O22" s="41"/>
      <c r="P22" s="41"/>
      <c r="Q22" s="39"/>
      <c r="R22" s="39"/>
      <c r="S22" s="39"/>
      <c r="T22" s="39"/>
      <c r="U22" s="39"/>
    </row>
    <row r="23" spans="2:27" s="40" customFormat="1" x14ac:dyDescent="0.25">
      <c r="B23" s="50" t="s">
        <v>121</v>
      </c>
      <c r="C23" s="39"/>
      <c r="D23" s="128">
        <f>SUM(F23:V23)</f>
        <v>1213649.5417566784</v>
      </c>
      <c r="E23" s="121"/>
      <c r="F23" s="129">
        <f>IF(F14="","",F44+F59+F74+F81)</f>
        <v>0</v>
      </c>
      <c r="G23" s="129">
        <f t="shared" ref="G23:U23" si="6">IF(G14="","",G44+G59+G74+G81)</f>
        <v>22773.5</v>
      </c>
      <c r="H23" s="129">
        <f t="shared" si="6"/>
        <v>24676.769999999997</v>
      </c>
      <c r="I23" s="129">
        <f t="shared" si="6"/>
        <v>25628.414399999998</v>
      </c>
      <c r="J23" s="129">
        <f t="shared" si="6"/>
        <v>18036.016212888211</v>
      </c>
      <c r="K23" s="129">
        <f t="shared" si="6"/>
        <v>0</v>
      </c>
      <c r="L23" s="129">
        <f t="shared" si="6"/>
        <v>20034.494672146433</v>
      </c>
      <c r="M23" s="129">
        <f t="shared" si="6"/>
        <v>21063.355804433679</v>
      </c>
      <c r="N23" s="129">
        <f t="shared" si="6"/>
        <v>22112.488315442093</v>
      </c>
      <c r="O23" s="129">
        <f t="shared" si="6"/>
        <v>23182.294574306812</v>
      </c>
      <c r="P23" s="129">
        <f t="shared" si="6"/>
        <v>1036142.2077774613</v>
      </c>
      <c r="Q23" s="129" t="str">
        <f t="shared" si="6"/>
        <v/>
      </c>
      <c r="R23" s="129" t="str">
        <f t="shared" si="6"/>
        <v/>
      </c>
      <c r="S23" s="129" t="str">
        <f t="shared" si="6"/>
        <v/>
      </c>
      <c r="T23" s="129" t="str">
        <f t="shared" si="6"/>
        <v/>
      </c>
      <c r="U23" s="129" t="str">
        <f t="shared" si="6"/>
        <v/>
      </c>
      <c r="V23" s="130"/>
    </row>
    <row r="24" spans="2:27" s="40" customFormat="1" x14ac:dyDescent="0.25">
      <c r="B24" s="50" t="s">
        <v>128</v>
      </c>
      <c r="C24" s="39"/>
      <c r="D24" s="128">
        <f>SUM(F24:V24)</f>
        <v>282937.67790194741</v>
      </c>
      <c r="E24" s="121"/>
      <c r="F24" s="129">
        <f>IF(F14="","",-(MIN(F31,0)+F38))</f>
        <v>277713.18831129558</v>
      </c>
      <c r="G24" s="129">
        <f t="shared" ref="G24:U24" si="7">IF(G14="","",-(MIN(G31,0)+G38))</f>
        <v>0</v>
      </c>
      <c r="H24" s="129">
        <f t="shared" si="7"/>
        <v>0</v>
      </c>
      <c r="I24" s="129">
        <f t="shared" si="7"/>
        <v>0</v>
      </c>
      <c r="J24" s="129">
        <f t="shared" si="7"/>
        <v>0</v>
      </c>
      <c r="K24" s="129">
        <f t="shared" si="7"/>
        <v>5224.4895906518213</v>
      </c>
      <c r="L24" s="129">
        <f t="shared" si="7"/>
        <v>0</v>
      </c>
      <c r="M24" s="129">
        <f t="shared" si="7"/>
        <v>0</v>
      </c>
      <c r="N24" s="129">
        <f t="shared" si="7"/>
        <v>0</v>
      </c>
      <c r="O24" s="129">
        <f t="shared" si="7"/>
        <v>0</v>
      </c>
      <c r="P24" s="129">
        <f t="shared" si="7"/>
        <v>0</v>
      </c>
      <c r="Q24" s="129" t="str">
        <f t="shared" si="7"/>
        <v/>
      </c>
      <c r="R24" s="129" t="str">
        <f t="shared" si="7"/>
        <v/>
      </c>
      <c r="S24" s="129" t="str">
        <f t="shared" si="7"/>
        <v/>
      </c>
      <c r="T24" s="129" t="str">
        <f t="shared" si="7"/>
        <v/>
      </c>
      <c r="U24" s="129" t="str">
        <f t="shared" si="7"/>
        <v/>
      </c>
      <c r="V24" s="130"/>
    </row>
    <row r="25" spans="2:27" s="40" customFormat="1" x14ac:dyDescent="0.25">
      <c r="B25" s="50" t="s">
        <v>129</v>
      </c>
      <c r="C25" s="39"/>
      <c r="D25" s="128">
        <f>D23-D24</f>
        <v>930711.86385473097</v>
      </c>
      <c r="E25" s="121"/>
      <c r="F25" s="117"/>
      <c r="G25" s="118"/>
      <c r="H25" s="119"/>
      <c r="I25" s="119"/>
      <c r="J25" s="41"/>
      <c r="K25" s="41"/>
      <c r="L25" s="41"/>
      <c r="M25" s="41"/>
      <c r="N25" s="41"/>
      <c r="O25" s="41"/>
      <c r="P25" s="41"/>
      <c r="Q25" s="39"/>
      <c r="R25" s="39"/>
      <c r="S25" s="39"/>
      <c r="T25" s="39"/>
      <c r="U25" s="39"/>
    </row>
    <row r="26" spans="2:27" s="40" customFormat="1" x14ac:dyDescent="0.25">
      <c r="B26" s="50" t="s">
        <v>130</v>
      </c>
      <c r="C26" s="39"/>
      <c r="D26" s="103">
        <f>IRR(F26:V26)</f>
        <v>0.18262448395450503</v>
      </c>
      <c r="E26" s="121"/>
      <c r="F26" s="129">
        <f>IF(F14="","",(-F24)+F23)</f>
        <v>-277713.18831129558</v>
      </c>
      <c r="G26" s="129">
        <f t="shared" ref="G26:U26" si="8">IF(G14="","",(-G24)+G23)</f>
        <v>22773.5</v>
      </c>
      <c r="H26" s="129">
        <f t="shared" si="8"/>
        <v>24676.769999999997</v>
      </c>
      <c r="I26" s="129">
        <f t="shared" si="8"/>
        <v>25628.414399999998</v>
      </c>
      <c r="J26" s="129">
        <f t="shared" si="8"/>
        <v>18036.016212888211</v>
      </c>
      <c r="K26" s="129">
        <f t="shared" si="8"/>
        <v>-5224.4895906518213</v>
      </c>
      <c r="L26" s="129">
        <f t="shared" si="8"/>
        <v>20034.494672146433</v>
      </c>
      <c r="M26" s="129">
        <f t="shared" si="8"/>
        <v>21063.355804433679</v>
      </c>
      <c r="N26" s="129">
        <f t="shared" si="8"/>
        <v>22112.488315442093</v>
      </c>
      <c r="O26" s="129">
        <f t="shared" si="8"/>
        <v>23182.294574306812</v>
      </c>
      <c r="P26" s="129">
        <f t="shared" si="8"/>
        <v>1036142.2077774613</v>
      </c>
      <c r="Q26" s="129" t="str">
        <f t="shared" si="8"/>
        <v/>
      </c>
      <c r="R26" s="129" t="str">
        <f t="shared" si="8"/>
        <v/>
      </c>
      <c r="S26" s="129" t="str">
        <f t="shared" si="8"/>
        <v/>
      </c>
      <c r="T26" s="129" t="str">
        <f t="shared" si="8"/>
        <v/>
      </c>
      <c r="U26" s="129" t="str">
        <f t="shared" si="8"/>
        <v/>
      </c>
      <c r="V26" s="130" t="str">
        <f t="shared" ref="V26" si="9">IF(V21="","",(-V24)+V23)</f>
        <v/>
      </c>
    </row>
    <row r="27" spans="2:27" s="40" customFormat="1" x14ac:dyDescent="0.25">
      <c r="B27" s="50" t="s">
        <v>131</v>
      </c>
      <c r="C27" s="39"/>
      <c r="D27" s="131">
        <f>D23/D24</f>
        <v>4.2894589040109068</v>
      </c>
      <c r="E27" s="121"/>
      <c r="F27" s="117"/>
      <c r="G27" s="118"/>
      <c r="H27" s="119"/>
      <c r="I27" s="119"/>
      <c r="J27" s="41"/>
      <c r="K27" s="41"/>
      <c r="L27" s="41"/>
      <c r="M27" s="41"/>
      <c r="N27" s="41"/>
      <c r="O27" s="41"/>
      <c r="P27" s="41"/>
      <c r="Q27" s="39"/>
      <c r="R27" s="39"/>
      <c r="S27" s="39"/>
      <c r="T27" s="39"/>
      <c r="U27" s="39"/>
    </row>
    <row r="29" spans="2:27" ht="15.75" x14ac:dyDescent="0.25">
      <c r="B29" s="38" t="s">
        <v>118</v>
      </c>
      <c r="C29" s="39"/>
      <c r="D29" s="39"/>
      <c r="E29" s="41"/>
      <c r="F29" s="41" t="s">
        <v>106</v>
      </c>
      <c r="G29" s="42">
        <v>1</v>
      </c>
      <c r="H29" s="42">
        <f t="shared" ref="H29:V29" si="10">IF(OR(G29="",G29=Analysis_Period),"",G29+1)</f>
        <v>2</v>
      </c>
      <c r="I29" s="42">
        <f t="shared" si="10"/>
        <v>3</v>
      </c>
      <c r="J29" s="42">
        <f t="shared" si="10"/>
        <v>4</v>
      </c>
      <c r="K29" s="42">
        <f t="shared" si="10"/>
        <v>5</v>
      </c>
      <c r="L29" s="42">
        <f t="shared" si="10"/>
        <v>6</v>
      </c>
      <c r="M29" s="42">
        <f t="shared" si="10"/>
        <v>7</v>
      </c>
      <c r="N29" s="42">
        <f t="shared" si="10"/>
        <v>8</v>
      </c>
      <c r="O29" s="42">
        <f t="shared" si="10"/>
        <v>9</v>
      </c>
      <c r="P29" s="42">
        <f t="shared" si="10"/>
        <v>10</v>
      </c>
      <c r="Q29" s="42" t="str">
        <f t="shared" si="10"/>
        <v/>
      </c>
      <c r="R29" s="42" t="str">
        <f t="shared" si="10"/>
        <v/>
      </c>
      <c r="S29" s="42" t="str">
        <f t="shared" si="10"/>
        <v/>
      </c>
      <c r="T29" s="42" t="str">
        <f t="shared" si="10"/>
        <v/>
      </c>
      <c r="U29" s="42" t="str">
        <f t="shared" si="10"/>
        <v/>
      </c>
      <c r="V29" s="42" t="str">
        <f t="shared" si="10"/>
        <v/>
      </c>
      <c r="W29" s="132"/>
      <c r="X29" s="132"/>
      <c r="Y29" s="132"/>
      <c r="Z29" s="132"/>
      <c r="AA29" s="132"/>
    </row>
    <row r="30" spans="2:27" x14ac:dyDescent="0.25">
      <c r="B30" s="39"/>
      <c r="C30" s="39"/>
      <c r="D30" s="39"/>
      <c r="E30" s="45" t="s">
        <v>18</v>
      </c>
      <c r="F30" s="46">
        <f>Analysis_Start</f>
        <v>42370</v>
      </c>
      <c r="G30" s="46">
        <f>EOMONTH(Analysis_Start,11)</f>
        <v>42735</v>
      </c>
      <c r="H30" s="46">
        <f t="shared" ref="H30:U30" si="11">IF(H29="","",EOMONTH(Analysis_Start,(11*H29)+G29))</f>
        <v>43100</v>
      </c>
      <c r="I30" s="46">
        <f t="shared" si="11"/>
        <v>43465</v>
      </c>
      <c r="J30" s="46">
        <f t="shared" si="11"/>
        <v>43830</v>
      </c>
      <c r="K30" s="46">
        <f t="shared" si="11"/>
        <v>44196</v>
      </c>
      <c r="L30" s="46">
        <f t="shared" si="11"/>
        <v>44561</v>
      </c>
      <c r="M30" s="46">
        <f t="shared" si="11"/>
        <v>44926</v>
      </c>
      <c r="N30" s="46">
        <f t="shared" si="11"/>
        <v>45291</v>
      </c>
      <c r="O30" s="46">
        <f t="shared" si="11"/>
        <v>45657</v>
      </c>
      <c r="P30" s="46">
        <f t="shared" si="11"/>
        <v>46022</v>
      </c>
      <c r="Q30" s="46" t="str">
        <f t="shared" si="11"/>
        <v/>
      </c>
      <c r="R30" s="133" t="str">
        <f t="shared" si="11"/>
        <v/>
      </c>
      <c r="S30" s="133" t="str">
        <f t="shared" si="11"/>
        <v/>
      </c>
      <c r="T30" s="133" t="str">
        <f t="shared" si="11"/>
        <v/>
      </c>
      <c r="U30" s="133" t="str">
        <f t="shared" si="11"/>
        <v/>
      </c>
      <c r="V30" s="134"/>
      <c r="W30" s="132"/>
      <c r="X30" s="132"/>
      <c r="Y30" s="132"/>
      <c r="Z30" s="132"/>
      <c r="AA30" s="132"/>
    </row>
    <row r="31" spans="2:27" x14ac:dyDescent="0.25">
      <c r="B31" s="39" t="str">
        <f>'Property Returns'!B41</f>
        <v>Levered Before Tax Cash Flow</v>
      </c>
      <c r="C31" s="39"/>
      <c r="D31" s="39"/>
      <c r="E31" s="39"/>
      <c r="F31" s="81">
        <f>'Property Returns'!D68</f>
        <v>-5554263.7662259005</v>
      </c>
      <c r="G31" s="81">
        <f>'Property Returns'!D41</f>
        <v>455470</v>
      </c>
      <c r="H31" s="81">
        <f>'Property Returns'!E41</f>
        <v>493535.39999999991</v>
      </c>
      <c r="I31" s="81">
        <f>'Property Returns'!F41</f>
        <v>512568.28799999994</v>
      </c>
      <c r="J31" s="81">
        <f>'Property Returns'!G41</f>
        <v>360720.32425776392</v>
      </c>
      <c r="K31" s="81">
        <f>'Property Returns'!H41</f>
        <v>-104489.79181303643</v>
      </c>
      <c r="L31" s="81">
        <f>'Property Returns'!I41</f>
        <v>400689.89344292833</v>
      </c>
      <c r="M31" s="81">
        <f>'Property Returns'!J41</f>
        <v>421267.11608867324</v>
      </c>
      <c r="N31" s="81">
        <f>'Property Returns'!K41</f>
        <v>442249.76630884153</v>
      </c>
      <c r="O31" s="81">
        <f>'Property Returns'!L41</f>
        <v>463645.89148613624</v>
      </c>
      <c r="P31" s="81">
        <f>'Property Returns'!M41</f>
        <v>9702420.2983047292</v>
      </c>
      <c r="Q31" s="81" t="str">
        <f>'Property Returns'!N41</f>
        <v/>
      </c>
      <c r="R31" s="81" t="str">
        <f>'Property Returns'!O41</f>
        <v/>
      </c>
      <c r="S31" s="81" t="str">
        <f>'Property Returns'!P41</f>
        <v/>
      </c>
      <c r="T31" s="81" t="str">
        <f>'Property Returns'!Q41</f>
        <v/>
      </c>
      <c r="U31" s="81" t="str">
        <f>'Property Returns'!R41</f>
        <v/>
      </c>
      <c r="V31" s="39"/>
    </row>
    <row r="32" spans="2:27" x14ac:dyDescent="0.25">
      <c r="B32" s="39" t="s">
        <v>59</v>
      </c>
      <c r="C32" s="39"/>
      <c r="D32" s="39"/>
      <c r="E32" s="39"/>
      <c r="F32" s="119">
        <f>IRR(F31:U31)</f>
        <v>0.11037105061589503</v>
      </c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39"/>
      <c r="R32" s="39"/>
      <c r="S32" s="39"/>
      <c r="T32" s="39"/>
      <c r="U32" s="39"/>
      <c r="V32" s="39"/>
    </row>
    <row r="34" spans="2:22" ht="15.75" x14ac:dyDescent="0.25">
      <c r="B34" s="38" t="s">
        <v>95</v>
      </c>
      <c r="C34" s="39"/>
      <c r="D34" s="39"/>
      <c r="E34" s="39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39"/>
      <c r="R34" s="39"/>
      <c r="S34" s="39"/>
      <c r="T34" s="39"/>
      <c r="U34" s="39"/>
    </row>
    <row r="35" spans="2:22" x14ac:dyDescent="0.25">
      <c r="B35" s="135" t="s">
        <v>107</v>
      </c>
      <c r="C35" s="136">
        <f>E9</f>
        <v>0.08</v>
      </c>
      <c r="D35" s="115"/>
      <c r="E35" s="115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115"/>
      <c r="R35" s="115"/>
      <c r="S35" s="115"/>
      <c r="T35" s="115"/>
      <c r="U35" s="115"/>
    </row>
    <row r="36" spans="2:22" x14ac:dyDescent="0.25">
      <c r="B36" s="39" t="s">
        <v>109</v>
      </c>
      <c r="C36" s="39"/>
      <c r="D36" s="39"/>
      <c r="E36" s="39"/>
      <c r="F36" s="81">
        <f t="shared" ref="F36:U36" si="12">IF(F29="","",E40)</f>
        <v>0</v>
      </c>
      <c r="G36" s="81">
        <f t="shared" si="12"/>
        <v>5276550.5779146049</v>
      </c>
      <c r="H36" s="81">
        <f t="shared" si="12"/>
        <v>5265978.1241477737</v>
      </c>
      <c r="I36" s="81">
        <f t="shared" si="12"/>
        <v>5218397.7440795954</v>
      </c>
      <c r="J36" s="81">
        <f t="shared" si="12"/>
        <v>5148929.6900059637</v>
      </c>
      <c r="K36" s="81">
        <f t="shared" si="12"/>
        <v>5218159.7571615651</v>
      </c>
      <c r="L36" s="81">
        <f t="shared" si="12"/>
        <v>5734877.839956874</v>
      </c>
      <c r="M36" s="81">
        <f t="shared" si="12"/>
        <v>5813012.6683826419</v>
      </c>
      <c r="N36" s="81">
        <f t="shared" si="12"/>
        <v>5877849.921569014</v>
      </c>
      <c r="O36" s="81">
        <f t="shared" si="12"/>
        <v>5927940.6373011358</v>
      </c>
      <c r="P36" s="81">
        <f t="shared" si="12"/>
        <v>5961712.2913733982</v>
      </c>
      <c r="Q36" s="81" t="str">
        <f t="shared" si="12"/>
        <v/>
      </c>
      <c r="R36" s="81" t="str">
        <f t="shared" si="12"/>
        <v/>
      </c>
      <c r="S36" s="81" t="str">
        <f t="shared" si="12"/>
        <v/>
      </c>
      <c r="T36" s="81" t="str">
        <f t="shared" si="12"/>
        <v/>
      </c>
      <c r="U36" s="81" t="str">
        <f t="shared" si="12"/>
        <v/>
      </c>
      <c r="V36" s="82"/>
    </row>
    <row r="37" spans="2:22" x14ac:dyDescent="0.25">
      <c r="B37" s="39" t="s">
        <v>110</v>
      </c>
      <c r="C37" s="39"/>
      <c r="D37" s="39"/>
      <c r="E37" s="39"/>
      <c r="F37" s="81">
        <f t="shared" ref="F37:U37" si="13">IF(F36="","",F36*Preferred_Return)</f>
        <v>0</v>
      </c>
      <c r="G37" s="81">
        <f t="shared" si="13"/>
        <v>422124.0462331684</v>
      </c>
      <c r="H37" s="81">
        <f t="shared" si="13"/>
        <v>421278.24993182189</v>
      </c>
      <c r="I37" s="81">
        <f t="shared" si="13"/>
        <v>417471.81952636765</v>
      </c>
      <c r="J37" s="81">
        <f t="shared" si="13"/>
        <v>411914.37520047708</v>
      </c>
      <c r="K37" s="81">
        <f t="shared" si="13"/>
        <v>417452.78057292523</v>
      </c>
      <c r="L37" s="81">
        <f t="shared" si="13"/>
        <v>458790.22719654994</v>
      </c>
      <c r="M37" s="81">
        <f t="shared" si="13"/>
        <v>465041.01347061136</v>
      </c>
      <c r="N37" s="81">
        <f t="shared" si="13"/>
        <v>470227.99372552114</v>
      </c>
      <c r="O37" s="81">
        <f t="shared" si="13"/>
        <v>474235.25098409085</v>
      </c>
      <c r="P37" s="81">
        <f t="shared" si="13"/>
        <v>476936.98330987187</v>
      </c>
      <c r="Q37" s="81" t="str">
        <f t="shared" si="13"/>
        <v/>
      </c>
      <c r="R37" s="81" t="str">
        <f t="shared" si="13"/>
        <v/>
      </c>
      <c r="S37" s="81" t="str">
        <f t="shared" si="13"/>
        <v/>
      </c>
      <c r="T37" s="81" t="str">
        <f t="shared" si="13"/>
        <v/>
      </c>
      <c r="U37" s="81" t="str">
        <f t="shared" si="13"/>
        <v/>
      </c>
    </row>
    <row r="38" spans="2:22" x14ac:dyDescent="0.25">
      <c r="B38" s="39" t="s">
        <v>112</v>
      </c>
      <c r="C38" s="39"/>
      <c r="D38" s="39"/>
      <c r="E38" s="39"/>
      <c r="F38" s="81">
        <f t="shared" ref="F38:U38" si="14">IF(F36="","",-MIN(0,F31*Equity_Share_LP))</f>
        <v>5276550.5779146049</v>
      </c>
      <c r="G38" s="81">
        <f t="shared" si="14"/>
        <v>0</v>
      </c>
      <c r="H38" s="81">
        <f t="shared" si="14"/>
        <v>0</v>
      </c>
      <c r="I38" s="81">
        <f t="shared" si="14"/>
        <v>0</v>
      </c>
      <c r="J38" s="81">
        <f t="shared" si="14"/>
        <v>0</v>
      </c>
      <c r="K38" s="81">
        <f t="shared" si="14"/>
        <v>99265.302222384606</v>
      </c>
      <c r="L38" s="81">
        <f t="shared" si="14"/>
        <v>0</v>
      </c>
      <c r="M38" s="81">
        <f t="shared" si="14"/>
        <v>0</v>
      </c>
      <c r="N38" s="81">
        <f t="shared" si="14"/>
        <v>0</v>
      </c>
      <c r="O38" s="81">
        <f t="shared" si="14"/>
        <v>0</v>
      </c>
      <c r="P38" s="81">
        <f t="shared" si="14"/>
        <v>0</v>
      </c>
      <c r="Q38" s="81" t="str">
        <f t="shared" si="14"/>
        <v/>
      </c>
      <c r="R38" s="81" t="str">
        <f t="shared" si="14"/>
        <v/>
      </c>
      <c r="S38" s="81" t="str">
        <f t="shared" si="14"/>
        <v/>
      </c>
      <c r="T38" s="81" t="str">
        <f t="shared" si="14"/>
        <v/>
      </c>
      <c r="U38" s="81" t="str">
        <f t="shared" si="14"/>
        <v/>
      </c>
    </row>
    <row r="39" spans="2:22" x14ac:dyDescent="0.25">
      <c r="B39" s="39" t="s">
        <v>116</v>
      </c>
      <c r="C39" s="39"/>
      <c r="D39" s="39"/>
      <c r="E39" s="39"/>
      <c r="F39" s="81">
        <f>MAX(F31,F37)</f>
        <v>0</v>
      </c>
      <c r="G39" s="81">
        <f t="shared" ref="G39:U39" si="15">IF(G36="","",MIN(G36+G37,MAX(G31,0)*Equity_Share_LP))</f>
        <v>432696.5</v>
      </c>
      <c r="H39" s="81">
        <f t="shared" si="15"/>
        <v>468858.62999999989</v>
      </c>
      <c r="I39" s="81">
        <f t="shared" si="15"/>
        <v>486939.87359999993</v>
      </c>
      <c r="J39" s="81">
        <f t="shared" si="15"/>
        <v>342684.30804487568</v>
      </c>
      <c r="K39" s="81">
        <f t="shared" si="15"/>
        <v>0</v>
      </c>
      <c r="L39" s="81">
        <f t="shared" si="15"/>
        <v>380655.39877078187</v>
      </c>
      <c r="M39" s="81">
        <f t="shared" si="15"/>
        <v>400203.76028423954</v>
      </c>
      <c r="N39" s="81">
        <f t="shared" si="15"/>
        <v>420137.27799339942</v>
      </c>
      <c r="O39" s="81">
        <f t="shared" si="15"/>
        <v>440463.59691182943</v>
      </c>
      <c r="P39" s="81">
        <f t="shared" si="15"/>
        <v>6438649.2746832697</v>
      </c>
      <c r="Q39" s="81" t="str">
        <f t="shared" si="15"/>
        <v/>
      </c>
      <c r="R39" s="81" t="str">
        <f t="shared" si="15"/>
        <v/>
      </c>
      <c r="S39" s="81" t="str">
        <f t="shared" si="15"/>
        <v/>
      </c>
      <c r="T39" s="81" t="str">
        <f t="shared" si="15"/>
        <v/>
      </c>
      <c r="U39" s="81" t="str">
        <f t="shared" si="15"/>
        <v/>
      </c>
      <c r="V39" s="55"/>
    </row>
    <row r="40" spans="2:22" x14ac:dyDescent="0.25">
      <c r="B40" s="39" t="s">
        <v>111</v>
      </c>
      <c r="C40" s="39"/>
      <c r="D40" s="39"/>
      <c r="E40" s="39"/>
      <c r="F40" s="81">
        <f>F36+F38-F39</f>
        <v>5276550.5779146049</v>
      </c>
      <c r="G40" s="81">
        <f>IF(G36="","",G36+G37+G38-G39)</f>
        <v>5265978.1241477737</v>
      </c>
      <c r="H40" s="81">
        <f t="shared" ref="H40:U40" si="16">IF(H36="","",H36+H37+H38-H39)</f>
        <v>5218397.7440795954</v>
      </c>
      <c r="I40" s="81">
        <f t="shared" si="16"/>
        <v>5148929.6900059637</v>
      </c>
      <c r="J40" s="81">
        <f t="shared" si="16"/>
        <v>5218159.7571615651</v>
      </c>
      <c r="K40" s="81">
        <f t="shared" si="16"/>
        <v>5734877.839956874</v>
      </c>
      <c r="L40" s="81">
        <f t="shared" si="16"/>
        <v>5813012.6683826419</v>
      </c>
      <c r="M40" s="81">
        <f t="shared" si="16"/>
        <v>5877849.921569014</v>
      </c>
      <c r="N40" s="81">
        <f t="shared" si="16"/>
        <v>5927940.6373011358</v>
      </c>
      <c r="O40" s="81">
        <f t="shared" si="16"/>
        <v>5961712.2913733982</v>
      </c>
      <c r="P40" s="81">
        <f t="shared" si="16"/>
        <v>0</v>
      </c>
      <c r="Q40" s="81" t="str">
        <f t="shared" si="16"/>
        <v/>
      </c>
      <c r="R40" s="81" t="str">
        <f t="shared" si="16"/>
        <v/>
      </c>
      <c r="S40" s="81" t="str">
        <f t="shared" si="16"/>
        <v/>
      </c>
      <c r="T40" s="81" t="str">
        <f t="shared" si="16"/>
        <v/>
      </c>
      <c r="U40" s="81" t="str">
        <f t="shared" si="16"/>
        <v/>
      </c>
      <c r="V40" s="82"/>
    </row>
    <row r="41" spans="2:22" x14ac:dyDescent="0.25">
      <c r="B41" s="137">
        <f>C35</f>
        <v>0.08</v>
      </c>
      <c r="C41" s="39"/>
      <c r="D41" s="39"/>
      <c r="E41" s="138">
        <f>IRR(F41:U41)</f>
        <v>8.0000000000000959E-2</v>
      </c>
      <c r="F41" s="81">
        <f>IF(F36="","",-F38+F39)</f>
        <v>-5276550.5779146049</v>
      </c>
      <c r="G41" s="81">
        <f t="shared" ref="G41:U41" si="17">IF(G36="","",-G38+G39)</f>
        <v>432696.5</v>
      </c>
      <c r="H41" s="81">
        <f t="shared" si="17"/>
        <v>468858.62999999989</v>
      </c>
      <c r="I41" s="81">
        <f t="shared" si="17"/>
        <v>486939.87359999993</v>
      </c>
      <c r="J41" s="81">
        <f t="shared" si="17"/>
        <v>342684.30804487568</v>
      </c>
      <c r="K41" s="81">
        <f t="shared" si="17"/>
        <v>-99265.302222384606</v>
      </c>
      <c r="L41" s="81">
        <f t="shared" si="17"/>
        <v>380655.39877078187</v>
      </c>
      <c r="M41" s="81">
        <f t="shared" si="17"/>
        <v>400203.76028423954</v>
      </c>
      <c r="N41" s="81">
        <f t="shared" si="17"/>
        <v>420137.27799339942</v>
      </c>
      <c r="O41" s="81">
        <f t="shared" si="17"/>
        <v>440463.59691182943</v>
      </c>
      <c r="P41" s="81">
        <f t="shared" si="17"/>
        <v>6438649.2746832697</v>
      </c>
      <c r="Q41" s="81" t="str">
        <f t="shared" si="17"/>
        <v/>
      </c>
      <c r="R41" s="81" t="str">
        <f t="shared" si="17"/>
        <v/>
      </c>
      <c r="S41" s="81" t="str">
        <f t="shared" si="17"/>
        <v/>
      </c>
      <c r="T41" s="81" t="str">
        <f t="shared" si="17"/>
        <v/>
      </c>
      <c r="U41" s="81" t="str">
        <f t="shared" si="17"/>
        <v/>
      </c>
    </row>
    <row r="42" spans="2:22" x14ac:dyDescent="0.25">
      <c r="B42" s="106" t="s">
        <v>20</v>
      </c>
      <c r="C42" s="106" t="s">
        <v>20</v>
      </c>
      <c r="D42" s="106" t="s">
        <v>20</v>
      </c>
      <c r="E42" s="106" t="s">
        <v>20</v>
      </c>
      <c r="F42" s="107" t="str">
        <f>IF(F36="","",".")</f>
        <v>.</v>
      </c>
      <c r="G42" s="107" t="str">
        <f t="shared" ref="G42:U42" si="18">IF(G36="","",".")</f>
        <v>.</v>
      </c>
      <c r="H42" s="107" t="str">
        <f t="shared" si="18"/>
        <v>.</v>
      </c>
      <c r="I42" s="107" t="str">
        <f t="shared" si="18"/>
        <v>.</v>
      </c>
      <c r="J42" s="107" t="str">
        <f t="shared" si="18"/>
        <v>.</v>
      </c>
      <c r="K42" s="107" t="str">
        <f t="shared" si="18"/>
        <v>.</v>
      </c>
      <c r="L42" s="107" t="str">
        <f t="shared" si="18"/>
        <v>.</v>
      </c>
      <c r="M42" s="107" t="str">
        <f t="shared" si="18"/>
        <v>.</v>
      </c>
      <c r="N42" s="107" t="str">
        <f t="shared" si="18"/>
        <v>.</v>
      </c>
      <c r="O42" s="107" t="str">
        <f t="shared" si="18"/>
        <v>.</v>
      </c>
      <c r="P42" s="107" t="str">
        <f t="shared" si="18"/>
        <v>.</v>
      </c>
      <c r="Q42" s="107" t="str">
        <f t="shared" si="18"/>
        <v/>
      </c>
      <c r="R42" s="107" t="str">
        <f t="shared" si="18"/>
        <v/>
      </c>
      <c r="S42" s="107" t="str">
        <f t="shared" si="18"/>
        <v/>
      </c>
      <c r="T42" s="107" t="str">
        <f t="shared" si="18"/>
        <v/>
      </c>
      <c r="U42" s="107" t="str">
        <f t="shared" si="18"/>
        <v/>
      </c>
    </row>
    <row r="43" spans="2:22" x14ac:dyDescent="0.25">
      <c r="B43" s="39" t="s">
        <v>114</v>
      </c>
      <c r="C43" s="39"/>
      <c r="D43" s="39"/>
      <c r="E43" s="39"/>
      <c r="F43" s="81">
        <f>F39</f>
        <v>0</v>
      </c>
      <c r="G43" s="81">
        <f t="shared" ref="G43:U43" si="19">G39</f>
        <v>432696.5</v>
      </c>
      <c r="H43" s="81">
        <f t="shared" si="19"/>
        <v>468858.62999999989</v>
      </c>
      <c r="I43" s="81">
        <f t="shared" si="19"/>
        <v>486939.87359999993</v>
      </c>
      <c r="J43" s="81">
        <f t="shared" si="19"/>
        <v>342684.30804487568</v>
      </c>
      <c r="K43" s="81">
        <f t="shared" si="19"/>
        <v>0</v>
      </c>
      <c r="L43" s="81">
        <f t="shared" si="19"/>
        <v>380655.39877078187</v>
      </c>
      <c r="M43" s="81">
        <f t="shared" si="19"/>
        <v>400203.76028423954</v>
      </c>
      <c r="N43" s="81">
        <f t="shared" si="19"/>
        <v>420137.27799339942</v>
      </c>
      <c r="O43" s="81">
        <f t="shared" si="19"/>
        <v>440463.59691182943</v>
      </c>
      <c r="P43" s="81">
        <f t="shared" si="19"/>
        <v>6438649.2746832697</v>
      </c>
      <c r="Q43" s="81" t="str">
        <f t="shared" si="19"/>
        <v/>
      </c>
      <c r="R43" s="81" t="str">
        <f t="shared" si="19"/>
        <v/>
      </c>
      <c r="S43" s="81" t="str">
        <f t="shared" si="19"/>
        <v/>
      </c>
      <c r="T43" s="81" t="str">
        <f t="shared" si="19"/>
        <v/>
      </c>
      <c r="U43" s="81" t="str">
        <f t="shared" si="19"/>
        <v/>
      </c>
    </row>
    <row r="44" spans="2:22" x14ac:dyDescent="0.25">
      <c r="B44" s="39" t="s">
        <v>113</v>
      </c>
      <c r="C44" s="39"/>
      <c r="D44" s="39"/>
      <c r="E44" s="39"/>
      <c r="F44" s="81">
        <f t="shared" ref="F44:U44" si="20">IF(F36="","",F43/Equity_Share_LP*Equity_Share_Sponsor)</f>
        <v>0</v>
      </c>
      <c r="G44" s="81">
        <f t="shared" si="20"/>
        <v>22773.5</v>
      </c>
      <c r="H44" s="81">
        <f t="shared" si="20"/>
        <v>24676.769999999997</v>
      </c>
      <c r="I44" s="81">
        <f t="shared" si="20"/>
        <v>25628.414399999998</v>
      </c>
      <c r="J44" s="81">
        <f t="shared" si="20"/>
        <v>18036.016212888197</v>
      </c>
      <c r="K44" s="81">
        <f t="shared" si="20"/>
        <v>0</v>
      </c>
      <c r="L44" s="81">
        <f t="shared" si="20"/>
        <v>20034.494672146418</v>
      </c>
      <c r="M44" s="81">
        <f t="shared" si="20"/>
        <v>21063.355804433664</v>
      </c>
      <c r="N44" s="81">
        <f t="shared" si="20"/>
        <v>22112.488315442079</v>
      </c>
      <c r="O44" s="81">
        <f t="shared" si="20"/>
        <v>23182.294574306812</v>
      </c>
      <c r="P44" s="81">
        <f t="shared" si="20"/>
        <v>338876.27761490899</v>
      </c>
      <c r="Q44" s="81" t="str">
        <f t="shared" si="20"/>
        <v/>
      </c>
      <c r="R44" s="81" t="str">
        <f t="shared" si="20"/>
        <v/>
      </c>
      <c r="S44" s="81" t="str">
        <f t="shared" si="20"/>
        <v/>
      </c>
      <c r="T44" s="81" t="str">
        <f t="shared" si="20"/>
        <v/>
      </c>
      <c r="U44" s="81" t="str">
        <f t="shared" si="20"/>
        <v/>
      </c>
    </row>
    <row r="45" spans="2:22" x14ac:dyDescent="0.25">
      <c r="B45" s="39" t="str">
        <f>"Total Distributions ("&amp;B34&amp;")"</f>
        <v>Total Distributions (Hurdle 1)</v>
      </c>
      <c r="C45" s="39"/>
      <c r="D45" s="39"/>
      <c r="E45" s="39"/>
      <c r="F45" s="81">
        <f t="shared" ref="F45:U45" si="21">IF(F36="","",SUM(F43:F44))</f>
        <v>0</v>
      </c>
      <c r="G45" s="81">
        <f t="shared" si="21"/>
        <v>455470</v>
      </c>
      <c r="H45" s="81">
        <f t="shared" si="21"/>
        <v>493535.39999999991</v>
      </c>
      <c r="I45" s="81">
        <f t="shared" si="21"/>
        <v>512568.28799999994</v>
      </c>
      <c r="J45" s="81">
        <f t="shared" si="21"/>
        <v>360720.32425776386</v>
      </c>
      <c r="K45" s="81">
        <f t="shared" si="21"/>
        <v>0</v>
      </c>
      <c r="L45" s="81">
        <f t="shared" si="21"/>
        <v>400689.89344292827</v>
      </c>
      <c r="M45" s="81">
        <f t="shared" si="21"/>
        <v>421267.11608867318</v>
      </c>
      <c r="N45" s="81">
        <f t="shared" si="21"/>
        <v>442249.76630884147</v>
      </c>
      <c r="O45" s="81">
        <f t="shared" si="21"/>
        <v>463645.89148613624</v>
      </c>
      <c r="P45" s="81">
        <f t="shared" si="21"/>
        <v>6777525.5522981789</v>
      </c>
      <c r="Q45" s="81" t="str">
        <f t="shared" si="21"/>
        <v/>
      </c>
      <c r="R45" s="81" t="str">
        <f t="shared" si="21"/>
        <v/>
      </c>
      <c r="S45" s="81" t="str">
        <f t="shared" si="21"/>
        <v/>
      </c>
      <c r="T45" s="81" t="str">
        <f t="shared" si="21"/>
        <v/>
      </c>
      <c r="U45" s="81" t="str">
        <f t="shared" si="21"/>
        <v/>
      </c>
    </row>
    <row r="46" spans="2:22" x14ac:dyDescent="0.25">
      <c r="B46" s="39" t="s">
        <v>115</v>
      </c>
      <c r="C46" s="39"/>
      <c r="D46" s="39"/>
      <c r="E46" s="39"/>
      <c r="F46" s="81">
        <f t="shared" ref="F46:U46" si="22">IF(F36="","",MAX(F31-F45,0))</f>
        <v>0</v>
      </c>
      <c r="G46" s="81">
        <f t="shared" si="22"/>
        <v>0</v>
      </c>
      <c r="H46" s="81">
        <f t="shared" si="22"/>
        <v>0</v>
      </c>
      <c r="I46" s="81">
        <f t="shared" si="22"/>
        <v>0</v>
      </c>
      <c r="J46" s="81">
        <f t="shared" si="22"/>
        <v>5.8207660913467407E-11</v>
      </c>
      <c r="K46" s="81">
        <f t="shared" si="22"/>
        <v>0</v>
      </c>
      <c r="L46" s="81">
        <f t="shared" si="22"/>
        <v>5.8207660913467407E-11</v>
      </c>
      <c r="M46" s="81">
        <f t="shared" si="22"/>
        <v>5.8207660913467407E-11</v>
      </c>
      <c r="N46" s="81">
        <f t="shared" si="22"/>
        <v>5.8207660913467407E-11</v>
      </c>
      <c r="O46" s="81">
        <f t="shared" si="22"/>
        <v>0</v>
      </c>
      <c r="P46" s="81">
        <f t="shared" si="22"/>
        <v>2924894.7460065503</v>
      </c>
      <c r="Q46" s="81" t="str">
        <f t="shared" si="22"/>
        <v/>
      </c>
      <c r="R46" s="81" t="str">
        <f t="shared" si="22"/>
        <v/>
      </c>
      <c r="S46" s="81" t="str">
        <f t="shared" si="22"/>
        <v/>
      </c>
      <c r="T46" s="81" t="str">
        <f t="shared" si="22"/>
        <v/>
      </c>
      <c r="U46" s="81" t="str">
        <f t="shared" si="22"/>
        <v/>
      </c>
    </row>
    <row r="48" spans="2:22" ht="15.75" x14ac:dyDescent="0.25">
      <c r="B48" s="38" t="s">
        <v>96</v>
      </c>
      <c r="C48" s="39"/>
      <c r="D48" s="39"/>
      <c r="E48" s="39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39"/>
      <c r="R48" s="39"/>
      <c r="S48" s="39"/>
      <c r="T48" s="39"/>
      <c r="U48" s="39"/>
    </row>
    <row r="49" spans="2:21" x14ac:dyDescent="0.25">
      <c r="B49" s="135" t="s">
        <v>107</v>
      </c>
      <c r="C49" s="136">
        <f>VLOOKUP(B48,Promote_Structure,4,FALSE)</f>
        <v>0.12</v>
      </c>
      <c r="D49" s="115"/>
      <c r="E49" s="115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115"/>
      <c r="R49" s="115"/>
      <c r="S49" s="115"/>
      <c r="T49" s="115"/>
      <c r="U49" s="115"/>
    </row>
    <row r="50" spans="2:21" x14ac:dyDescent="0.25">
      <c r="B50" s="39" t="s">
        <v>109</v>
      </c>
      <c r="C50" s="39"/>
      <c r="D50" s="39"/>
      <c r="E50" s="39"/>
      <c r="F50" s="81">
        <f>IF(F29="","",E55)</f>
        <v>0</v>
      </c>
      <c r="G50" s="81">
        <f t="shared" ref="G50:U50" si="23">IF(G29="","",F55)</f>
        <v>5276550.5779146049</v>
      </c>
      <c r="H50" s="81">
        <f t="shared" si="23"/>
        <v>5477040.1472643577</v>
      </c>
      <c r="I50" s="81">
        <f t="shared" si="23"/>
        <v>5665426.3349360805</v>
      </c>
      <c r="J50" s="81">
        <f t="shared" si="23"/>
        <v>5858337.6215284104</v>
      </c>
      <c r="K50" s="81">
        <f t="shared" si="23"/>
        <v>6218653.8280669432</v>
      </c>
      <c r="L50" s="81">
        <f t="shared" si="23"/>
        <v>7064157.5896573607</v>
      </c>
      <c r="M50" s="81">
        <f t="shared" si="23"/>
        <v>7531201.1016454613</v>
      </c>
      <c r="N50" s="81">
        <f t="shared" si="23"/>
        <v>8034741.4735586774</v>
      </c>
      <c r="O50" s="81">
        <f t="shared" si="23"/>
        <v>8578773.1723923199</v>
      </c>
      <c r="P50" s="81">
        <f t="shared" si="23"/>
        <v>9167762.3561675698</v>
      </c>
      <c r="Q50" s="81" t="str">
        <f t="shared" si="23"/>
        <v/>
      </c>
      <c r="R50" s="81" t="str">
        <f t="shared" si="23"/>
        <v/>
      </c>
      <c r="S50" s="81" t="str">
        <f t="shared" si="23"/>
        <v/>
      </c>
      <c r="T50" s="81" t="str">
        <f t="shared" si="23"/>
        <v/>
      </c>
      <c r="U50" s="81" t="str">
        <f t="shared" si="23"/>
        <v/>
      </c>
    </row>
    <row r="51" spans="2:21" x14ac:dyDescent="0.25">
      <c r="B51" s="39" t="s">
        <v>110</v>
      </c>
      <c r="C51" s="39"/>
      <c r="D51" s="39"/>
      <c r="E51" s="39"/>
      <c r="F51" s="81">
        <f>IF(F50="","",F50*$C49)</f>
        <v>0</v>
      </c>
      <c r="G51" s="81">
        <f t="shared" ref="G51:U51" si="24">IF(G50="","",G50*$C49)</f>
        <v>633186.06934975262</v>
      </c>
      <c r="H51" s="81">
        <f t="shared" si="24"/>
        <v>657244.81767172285</v>
      </c>
      <c r="I51" s="81">
        <f t="shared" si="24"/>
        <v>679851.16019232967</v>
      </c>
      <c r="J51" s="81">
        <f t="shared" si="24"/>
        <v>703000.51458340918</v>
      </c>
      <c r="K51" s="81">
        <f t="shared" si="24"/>
        <v>746238.4593680331</v>
      </c>
      <c r="L51" s="81">
        <f t="shared" si="24"/>
        <v>847698.91075888323</v>
      </c>
      <c r="M51" s="81">
        <f t="shared" si="24"/>
        <v>903744.13219745527</v>
      </c>
      <c r="N51" s="81">
        <f t="shared" si="24"/>
        <v>964168.97682704125</v>
      </c>
      <c r="O51" s="81">
        <f t="shared" si="24"/>
        <v>1029452.7806870784</v>
      </c>
      <c r="P51" s="81">
        <f t="shared" si="24"/>
        <v>1100131.4827401084</v>
      </c>
      <c r="Q51" s="81" t="str">
        <f t="shared" si="24"/>
        <v/>
      </c>
      <c r="R51" s="81" t="str">
        <f t="shared" si="24"/>
        <v/>
      </c>
      <c r="S51" s="81" t="str">
        <f t="shared" si="24"/>
        <v/>
      </c>
      <c r="T51" s="81" t="str">
        <f t="shared" si="24"/>
        <v/>
      </c>
      <c r="U51" s="81" t="str">
        <f t="shared" si="24"/>
        <v/>
      </c>
    </row>
    <row r="52" spans="2:21" x14ac:dyDescent="0.25">
      <c r="B52" s="39" t="s">
        <v>112</v>
      </c>
      <c r="C52" s="39"/>
      <c r="D52" s="39"/>
      <c r="E52" s="39"/>
      <c r="F52" s="81">
        <f t="shared" ref="F52:U52" si="25">IF(F50="","",-MIN(0,F$31*Equity_Share_LP))</f>
        <v>5276550.5779146049</v>
      </c>
      <c r="G52" s="81">
        <f t="shared" si="25"/>
        <v>0</v>
      </c>
      <c r="H52" s="81">
        <f t="shared" si="25"/>
        <v>0</v>
      </c>
      <c r="I52" s="81">
        <f t="shared" si="25"/>
        <v>0</v>
      </c>
      <c r="J52" s="81">
        <f t="shared" si="25"/>
        <v>0</v>
      </c>
      <c r="K52" s="81">
        <f t="shared" si="25"/>
        <v>99265.302222384606</v>
      </c>
      <c r="L52" s="81">
        <f t="shared" si="25"/>
        <v>0</v>
      </c>
      <c r="M52" s="81">
        <f t="shared" si="25"/>
        <v>0</v>
      </c>
      <c r="N52" s="81">
        <f t="shared" si="25"/>
        <v>0</v>
      </c>
      <c r="O52" s="81">
        <f t="shared" si="25"/>
        <v>0</v>
      </c>
      <c r="P52" s="81">
        <f t="shared" si="25"/>
        <v>0</v>
      </c>
      <c r="Q52" s="81" t="str">
        <f t="shared" si="25"/>
        <v/>
      </c>
      <c r="R52" s="81" t="str">
        <f t="shared" si="25"/>
        <v/>
      </c>
      <c r="S52" s="81" t="str">
        <f t="shared" si="25"/>
        <v/>
      </c>
      <c r="T52" s="81" t="str">
        <f t="shared" si="25"/>
        <v/>
      </c>
      <c r="U52" s="81" t="str">
        <f t="shared" si="25"/>
        <v/>
      </c>
    </row>
    <row r="53" spans="2:21" x14ac:dyDescent="0.25">
      <c r="B53" s="39" t="s">
        <v>117</v>
      </c>
      <c r="C53" s="39"/>
      <c r="D53" s="39"/>
      <c r="E53" s="39"/>
      <c r="F53" s="81">
        <f>F43</f>
        <v>0</v>
      </c>
      <c r="G53" s="81">
        <f t="shared" ref="G53:U53" si="26">G43</f>
        <v>432696.5</v>
      </c>
      <c r="H53" s="81">
        <f t="shared" si="26"/>
        <v>468858.62999999989</v>
      </c>
      <c r="I53" s="81">
        <f t="shared" si="26"/>
        <v>486939.87359999993</v>
      </c>
      <c r="J53" s="81">
        <f t="shared" si="26"/>
        <v>342684.30804487568</v>
      </c>
      <c r="K53" s="81">
        <f t="shared" si="26"/>
        <v>0</v>
      </c>
      <c r="L53" s="81">
        <f t="shared" si="26"/>
        <v>380655.39877078187</v>
      </c>
      <c r="M53" s="81">
        <f t="shared" si="26"/>
        <v>400203.76028423954</v>
      </c>
      <c r="N53" s="81">
        <f t="shared" si="26"/>
        <v>420137.27799339942</v>
      </c>
      <c r="O53" s="81">
        <f t="shared" si="26"/>
        <v>440463.59691182943</v>
      </c>
      <c r="P53" s="81">
        <f t="shared" si="26"/>
        <v>6438649.2746832697</v>
      </c>
      <c r="Q53" s="81" t="str">
        <f t="shared" si="26"/>
        <v/>
      </c>
      <c r="R53" s="81" t="str">
        <f t="shared" si="26"/>
        <v/>
      </c>
      <c r="S53" s="81" t="str">
        <f t="shared" si="26"/>
        <v/>
      </c>
      <c r="T53" s="81" t="str">
        <f t="shared" si="26"/>
        <v/>
      </c>
      <c r="U53" s="81" t="str">
        <f t="shared" si="26"/>
        <v/>
      </c>
    </row>
    <row r="54" spans="2:21" x14ac:dyDescent="0.25">
      <c r="B54" s="39" t="str">
        <f>"Distributions to LP "&amp;B48</f>
        <v>Distributions to LP Hurdle 2</v>
      </c>
      <c r="C54" s="39"/>
      <c r="D54" s="39"/>
      <c r="E54" s="39"/>
      <c r="F54" s="81">
        <f>IF(F50="","",MIN(F50+F51-F53,F46))</f>
        <v>0</v>
      </c>
      <c r="G54" s="81">
        <f t="shared" ref="G54:U54" si="27">IF(G50="","",MIN(G50+G51-G53,G46))</f>
        <v>0</v>
      </c>
      <c r="H54" s="81">
        <f t="shared" si="27"/>
        <v>0</v>
      </c>
      <c r="I54" s="81">
        <f t="shared" si="27"/>
        <v>0</v>
      </c>
      <c r="J54" s="81">
        <f t="shared" si="27"/>
        <v>5.8207660913467407E-11</v>
      </c>
      <c r="K54" s="81">
        <f t="shared" si="27"/>
        <v>0</v>
      </c>
      <c r="L54" s="81">
        <f t="shared" si="27"/>
        <v>5.8207660913467407E-11</v>
      </c>
      <c r="M54" s="81">
        <f t="shared" si="27"/>
        <v>5.8207660913467407E-11</v>
      </c>
      <c r="N54" s="81">
        <f t="shared" si="27"/>
        <v>5.8207660913467407E-11</v>
      </c>
      <c r="O54" s="81">
        <f t="shared" si="27"/>
        <v>0</v>
      </c>
      <c r="P54" s="81">
        <f t="shared" si="27"/>
        <v>2924894.7460065503</v>
      </c>
      <c r="Q54" s="81" t="str">
        <f t="shared" si="27"/>
        <v/>
      </c>
      <c r="R54" s="81" t="str">
        <f t="shared" si="27"/>
        <v/>
      </c>
      <c r="S54" s="81" t="str">
        <f t="shared" si="27"/>
        <v/>
      </c>
      <c r="T54" s="81" t="str">
        <f t="shared" si="27"/>
        <v/>
      </c>
      <c r="U54" s="81" t="str">
        <f t="shared" si="27"/>
        <v/>
      </c>
    </row>
    <row r="55" spans="2:21" x14ac:dyDescent="0.25">
      <c r="B55" s="39" t="s">
        <v>111</v>
      </c>
      <c r="C55" s="39"/>
      <c r="D55" s="39"/>
      <c r="E55" s="39"/>
      <c r="F55" s="81">
        <f>F50+F52-F54</f>
        <v>5276550.5779146049</v>
      </c>
      <c r="G55" s="81">
        <f>IF(G50="","",G50+G51+G52-G53-G54)</f>
        <v>5477040.1472643577</v>
      </c>
      <c r="H55" s="81">
        <f t="shared" ref="H55:U55" si="28">IF(H50="","",H50+H51+H52-H53-H54)</f>
        <v>5665426.3349360805</v>
      </c>
      <c r="I55" s="81">
        <f t="shared" si="28"/>
        <v>5858337.6215284104</v>
      </c>
      <c r="J55" s="81">
        <f t="shared" si="28"/>
        <v>6218653.8280669432</v>
      </c>
      <c r="K55" s="81">
        <f t="shared" si="28"/>
        <v>7064157.5896573607</v>
      </c>
      <c r="L55" s="81">
        <f t="shared" si="28"/>
        <v>7531201.1016454613</v>
      </c>
      <c r="M55" s="81">
        <f t="shared" si="28"/>
        <v>8034741.4735586774</v>
      </c>
      <c r="N55" s="81">
        <f t="shared" si="28"/>
        <v>8578773.1723923199</v>
      </c>
      <c r="O55" s="81">
        <f t="shared" si="28"/>
        <v>9167762.3561675698</v>
      </c>
      <c r="P55" s="81">
        <f t="shared" si="28"/>
        <v>904349.81821785774</v>
      </c>
      <c r="Q55" s="81" t="str">
        <f t="shared" si="28"/>
        <v/>
      </c>
      <c r="R55" s="81" t="str">
        <f t="shared" si="28"/>
        <v/>
      </c>
      <c r="S55" s="81" t="str">
        <f t="shared" si="28"/>
        <v/>
      </c>
      <c r="T55" s="81" t="str">
        <f t="shared" si="28"/>
        <v/>
      </c>
      <c r="U55" s="81" t="str">
        <f t="shared" si="28"/>
        <v/>
      </c>
    </row>
    <row r="56" spans="2:21" x14ac:dyDescent="0.25">
      <c r="B56" s="137">
        <f>C49</f>
        <v>0.12</v>
      </c>
      <c r="C56" s="39"/>
      <c r="D56" s="39"/>
      <c r="E56" s="138">
        <f>IRR(F56:U56)</f>
        <v>0.11176143924622517</v>
      </c>
      <c r="F56" s="81">
        <f>IF(F50="","",-F52+F54)</f>
        <v>-5276550.5779146049</v>
      </c>
      <c r="G56" s="81">
        <f>IF(G50="","",-G52+G53+G54)</f>
        <v>432696.5</v>
      </c>
      <c r="H56" s="81">
        <f t="shared" ref="H56:U56" si="29">IF(H50="","",-H52+H53+H54)</f>
        <v>468858.62999999989</v>
      </c>
      <c r="I56" s="81">
        <f t="shared" si="29"/>
        <v>486939.87359999993</v>
      </c>
      <c r="J56" s="81">
        <f t="shared" si="29"/>
        <v>342684.30804487574</v>
      </c>
      <c r="K56" s="81">
        <f t="shared" si="29"/>
        <v>-99265.302222384606</v>
      </c>
      <c r="L56" s="81">
        <f t="shared" si="29"/>
        <v>380655.39877078193</v>
      </c>
      <c r="M56" s="81">
        <f t="shared" si="29"/>
        <v>400203.7602842396</v>
      </c>
      <c r="N56" s="81">
        <f t="shared" si="29"/>
        <v>420137.27799339948</v>
      </c>
      <c r="O56" s="81">
        <f t="shared" si="29"/>
        <v>440463.59691182943</v>
      </c>
      <c r="P56" s="81">
        <f t="shared" si="29"/>
        <v>9363544.020689819</v>
      </c>
      <c r="Q56" s="81" t="str">
        <f t="shared" si="29"/>
        <v/>
      </c>
      <c r="R56" s="81" t="str">
        <f t="shared" si="29"/>
        <v/>
      </c>
      <c r="S56" s="81" t="str">
        <f t="shared" si="29"/>
        <v/>
      </c>
      <c r="T56" s="81" t="str">
        <f t="shared" si="29"/>
        <v/>
      </c>
      <c r="U56" s="81" t="str">
        <f t="shared" si="29"/>
        <v/>
      </c>
    </row>
    <row r="57" spans="2:21" x14ac:dyDescent="0.25">
      <c r="B57" s="106" t="s">
        <v>20</v>
      </c>
      <c r="C57" s="106" t="s">
        <v>20</v>
      </c>
      <c r="D57" s="106" t="s">
        <v>20</v>
      </c>
      <c r="E57" s="106" t="s">
        <v>20</v>
      </c>
      <c r="F57" s="107" t="str">
        <f>IF(F50="","",".")</f>
        <v>.</v>
      </c>
      <c r="G57" s="107" t="str">
        <f t="shared" ref="G57:U57" si="30">IF(G50="","",".")</f>
        <v>.</v>
      </c>
      <c r="H57" s="107" t="str">
        <f t="shared" si="30"/>
        <v>.</v>
      </c>
      <c r="I57" s="107" t="str">
        <f t="shared" si="30"/>
        <v>.</v>
      </c>
      <c r="J57" s="107" t="str">
        <f t="shared" si="30"/>
        <v>.</v>
      </c>
      <c r="K57" s="107" t="str">
        <f t="shared" si="30"/>
        <v>.</v>
      </c>
      <c r="L57" s="107" t="str">
        <f t="shared" si="30"/>
        <v>.</v>
      </c>
      <c r="M57" s="107" t="str">
        <f t="shared" si="30"/>
        <v>.</v>
      </c>
      <c r="N57" s="107" t="str">
        <f t="shared" si="30"/>
        <v>.</v>
      </c>
      <c r="O57" s="107" t="str">
        <f t="shared" si="30"/>
        <v>.</v>
      </c>
      <c r="P57" s="107" t="str">
        <f t="shared" si="30"/>
        <v>.</v>
      </c>
      <c r="Q57" s="107" t="str">
        <f t="shared" si="30"/>
        <v/>
      </c>
      <c r="R57" s="107" t="str">
        <f t="shared" si="30"/>
        <v/>
      </c>
      <c r="S57" s="107" t="str">
        <f t="shared" si="30"/>
        <v/>
      </c>
      <c r="T57" s="107" t="str">
        <f t="shared" si="30"/>
        <v/>
      </c>
      <c r="U57" s="107" t="str">
        <f t="shared" si="30"/>
        <v/>
      </c>
    </row>
    <row r="58" spans="2:21" x14ac:dyDescent="0.25">
      <c r="B58" s="39" t="s">
        <v>114</v>
      </c>
      <c r="C58" s="39"/>
      <c r="D58" s="39"/>
      <c r="E58" s="39"/>
      <c r="F58" s="81">
        <f>IF(F50="","",F54)</f>
        <v>0</v>
      </c>
      <c r="G58" s="81">
        <f t="shared" ref="G58:U58" si="31">IF(G50="","",G54)</f>
        <v>0</v>
      </c>
      <c r="H58" s="81">
        <f t="shared" si="31"/>
        <v>0</v>
      </c>
      <c r="I58" s="81">
        <f t="shared" si="31"/>
        <v>0</v>
      </c>
      <c r="J58" s="81">
        <f t="shared" si="31"/>
        <v>5.8207660913467407E-11</v>
      </c>
      <c r="K58" s="81">
        <f t="shared" si="31"/>
        <v>0</v>
      </c>
      <c r="L58" s="81">
        <f t="shared" si="31"/>
        <v>5.8207660913467407E-11</v>
      </c>
      <c r="M58" s="81">
        <f t="shared" si="31"/>
        <v>5.8207660913467407E-11</v>
      </c>
      <c r="N58" s="81">
        <f t="shared" si="31"/>
        <v>5.8207660913467407E-11</v>
      </c>
      <c r="O58" s="81">
        <f t="shared" si="31"/>
        <v>0</v>
      </c>
      <c r="P58" s="81">
        <f t="shared" si="31"/>
        <v>2924894.7460065503</v>
      </c>
      <c r="Q58" s="81" t="str">
        <f t="shared" si="31"/>
        <v/>
      </c>
      <c r="R58" s="81" t="str">
        <f t="shared" si="31"/>
        <v/>
      </c>
      <c r="S58" s="81" t="str">
        <f t="shared" si="31"/>
        <v/>
      </c>
      <c r="T58" s="81" t="str">
        <f t="shared" si="31"/>
        <v/>
      </c>
      <c r="U58" s="81" t="str">
        <f t="shared" si="31"/>
        <v/>
      </c>
    </row>
    <row r="59" spans="2:21" x14ac:dyDescent="0.25">
      <c r="B59" s="39" t="s">
        <v>113</v>
      </c>
      <c r="C59" s="39"/>
      <c r="D59" s="39"/>
      <c r="E59" s="39"/>
      <c r="F59" s="81">
        <f t="shared" ref="F59:U59" si="32">IF(F50="","",F58/VLOOKUP($B48,Promote_Structure,8,FALSE)*VLOOKUP($B48,Promote_Structure,7,FALSE))</f>
        <v>0</v>
      </c>
      <c r="G59" s="81">
        <f t="shared" si="32"/>
        <v>0</v>
      </c>
      <c r="H59" s="81">
        <f t="shared" si="32"/>
        <v>0</v>
      </c>
      <c r="I59" s="81">
        <f t="shared" si="32"/>
        <v>0</v>
      </c>
      <c r="J59" s="81">
        <f t="shared" si="32"/>
        <v>1.3876129691445792E-11</v>
      </c>
      <c r="K59" s="81">
        <f t="shared" si="32"/>
        <v>0</v>
      </c>
      <c r="L59" s="81">
        <f t="shared" si="32"/>
        <v>1.3876129691445792E-11</v>
      </c>
      <c r="M59" s="81">
        <f t="shared" si="32"/>
        <v>1.3876129691445792E-11</v>
      </c>
      <c r="N59" s="81">
        <f t="shared" si="32"/>
        <v>1.3876129691445792E-11</v>
      </c>
      <c r="O59" s="81">
        <f t="shared" si="32"/>
        <v>0</v>
      </c>
      <c r="P59" s="81">
        <f t="shared" si="32"/>
        <v>697265.93016255228</v>
      </c>
      <c r="Q59" s="81" t="str">
        <f t="shared" si="32"/>
        <v/>
      </c>
      <c r="R59" s="81" t="str">
        <f t="shared" si="32"/>
        <v/>
      </c>
      <c r="S59" s="81" t="str">
        <f t="shared" si="32"/>
        <v/>
      </c>
      <c r="T59" s="81" t="str">
        <f t="shared" si="32"/>
        <v/>
      </c>
      <c r="U59" s="81" t="str">
        <f t="shared" si="32"/>
        <v/>
      </c>
    </row>
    <row r="60" spans="2:21" x14ac:dyDescent="0.25">
      <c r="B60" s="39" t="str">
        <f>"Total Distributions ("&amp;B48&amp;")"</f>
        <v>Total Distributions (Hurdle 2)</v>
      </c>
      <c r="C60" s="39"/>
      <c r="D60" s="39"/>
      <c r="E60" s="39"/>
      <c r="F60" s="81">
        <f>IF(F50="","",F58+F59)</f>
        <v>0</v>
      </c>
      <c r="G60" s="81">
        <f t="shared" ref="G60:U60" si="33">IF(G50="","",G58+G59)</f>
        <v>0</v>
      </c>
      <c r="H60" s="81">
        <f t="shared" si="33"/>
        <v>0</v>
      </c>
      <c r="I60" s="81">
        <f t="shared" si="33"/>
        <v>0</v>
      </c>
      <c r="J60" s="81">
        <f t="shared" si="33"/>
        <v>7.2083790604913203E-11</v>
      </c>
      <c r="K60" s="81">
        <f t="shared" si="33"/>
        <v>0</v>
      </c>
      <c r="L60" s="81">
        <f t="shared" si="33"/>
        <v>7.2083790604913203E-11</v>
      </c>
      <c r="M60" s="81">
        <f t="shared" si="33"/>
        <v>7.2083790604913203E-11</v>
      </c>
      <c r="N60" s="81">
        <f t="shared" si="33"/>
        <v>7.2083790604913203E-11</v>
      </c>
      <c r="O60" s="81">
        <f t="shared" si="33"/>
        <v>0</v>
      </c>
      <c r="P60" s="81">
        <f t="shared" si="33"/>
        <v>3622160.6761691025</v>
      </c>
      <c r="Q60" s="81" t="str">
        <f t="shared" si="33"/>
        <v/>
      </c>
      <c r="R60" s="81" t="str">
        <f t="shared" si="33"/>
        <v/>
      </c>
      <c r="S60" s="81" t="str">
        <f t="shared" si="33"/>
        <v/>
      </c>
      <c r="T60" s="81" t="str">
        <f t="shared" si="33"/>
        <v/>
      </c>
      <c r="U60" s="81" t="str">
        <f t="shared" si="33"/>
        <v/>
      </c>
    </row>
    <row r="61" spans="2:21" x14ac:dyDescent="0.25">
      <c r="B61" s="39" t="s">
        <v>115</v>
      </c>
      <c r="C61" s="39"/>
      <c r="D61" s="39"/>
      <c r="E61" s="39"/>
      <c r="F61" s="81">
        <f>IF(F50="","",MAX(F$31-F45-F60,0))</f>
        <v>0</v>
      </c>
      <c r="G61" s="81">
        <f t="shared" ref="G61:U61" si="34">IF(G50="","",MAX(G$31-G45-G60,0))</f>
        <v>0</v>
      </c>
      <c r="H61" s="81">
        <f t="shared" si="34"/>
        <v>0</v>
      </c>
      <c r="I61" s="81">
        <f t="shared" si="34"/>
        <v>0</v>
      </c>
      <c r="J61" s="81">
        <f t="shared" si="34"/>
        <v>0</v>
      </c>
      <c r="K61" s="81">
        <f t="shared" si="34"/>
        <v>0</v>
      </c>
      <c r="L61" s="81">
        <f t="shared" si="34"/>
        <v>0</v>
      </c>
      <c r="M61" s="81">
        <f t="shared" si="34"/>
        <v>0</v>
      </c>
      <c r="N61" s="81">
        <f t="shared" si="34"/>
        <v>0</v>
      </c>
      <c r="O61" s="81">
        <f t="shared" si="34"/>
        <v>0</v>
      </c>
      <c r="P61" s="81">
        <f t="shared" si="34"/>
        <v>0</v>
      </c>
      <c r="Q61" s="81" t="str">
        <f t="shared" si="34"/>
        <v/>
      </c>
      <c r="R61" s="81" t="str">
        <f t="shared" si="34"/>
        <v/>
      </c>
      <c r="S61" s="81" t="str">
        <f t="shared" si="34"/>
        <v/>
      </c>
      <c r="T61" s="81" t="str">
        <f t="shared" si="34"/>
        <v/>
      </c>
      <c r="U61" s="81" t="str">
        <f t="shared" si="34"/>
        <v/>
      </c>
    </row>
    <row r="63" spans="2:21" ht="15.75" x14ac:dyDescent="0.25">
      <c r="B63" s="38" t="s">
        <v>97</v>
      </c>
      <c r="C63" s="39"/>
      <c r="D63" s="39"/>
      <c r="E63" s="39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39"/>
      <c r="R63" s="39"/>
      <c r="S63" s="39"/>
      <c r="T63" s="39"/>
      <c r="U63" s="39"/>
    </row>
    <row r="64" spans="2:21" x14ac:dyDescent="0.25">
      <c r="B64" s="135" t="s">
        <v>107</v>
      </c>
      <c r="C64" s="136">
        <f>VLOOKUP(B63,Promote_Structure,4,FALSE)</f>
        <v>0.16</v>
      </c>
      <c r="D64" s="115"/>
      <c r="E64" s="115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115"/>
      <c r="R64" s="115"/>
      <c r="S64" s="115"/>
      <c r="T64" s="115"/>
      <c r="U64" s="115"/>
    </row>
    <row r="65" spans="2:21" x14ac:dyDescent="0.25">
      <c r="B65" s="39" t="s">
        <v>109</v>
      </c>
      <c r="C65" s="39"/>
      <c r="D65" s="39"/>
      <c r="E65" s="39"/>
      <c r="F65" s="81">
        <f>IF(F44="","",E70)</f>
        <v>0</v>
      </c>
      <c r="G65" s="81">
        <f t="shared" ref="G65:U65" si="35">IF(G44="","",F70)</f>
        <v>5276550.5779146049</v>
      </c>
      <c r="H65" s="81">
        <f t="shared" si="35"/>
        <v>5688102.1703809416</v>
      </c>
      <c r="I65" s="81">
        <f t="shared" si="35"/>
        <v>6129339.8876418928</v>
      </c>
      <c r="J65" s="81">
        <f t="shared" si="35"/>
        <v>6623094.3960645963</v>
      </c>
      <c r="K65" s="81">
        <f t="shared" si="35"/>
        <v>7340105.1913900552</v>
      </c>
      <c r="L65" s="81">
        <f t="shared" si="35"/>
        <v>8613787.3242348488</v>
      </c>
      <c r="M65" s="81">
        <f t="shared" si="35"/>
        <v>9611337.8973416444</v>
      </c>
      <c r="N65" s="81">
        <f t="shared" si="35"/>
        <v>10748948.200632067</v>
      </c>
      <c r="O65" s="81">
        <f t="shared" si="35"/>
        <v>12048642.634739798</v>
      </c>
      <c r="P65" s="81">
        <f t="shared" si="35"/>
        <v>13535961.859386336</v>
      </c>
      <c r="Q65" s="81" t="str">
        <f t="shared" si="35"/>
        <v/>
      </c>
      <c r="R65" s="81" t="str">
        <f t="shared" si="35"/>
        <v/>
      </c>
      <c r="S65" s="81" t="str">
        <f t="shared" si="35"/>
        <v/>
      </c>
      <c r="T65" s="81" t="str">
        <f t="shared" si="35"/>
        <v/>
      </c>
      <c r="U65" s="81" t="str">
        <f t="shared" si="35"/>
        <v/>
      </c>
    </row>
    <row r="66" spans="2:21" x14ac:dyDescent="0.25">
      <c r="B66" s="39" t="s">
        <v>110</v>
      </c>
      <c r="C66" s="39"/>
      <c r="D66" s="39"/>
      <c r="E66" s="39"/>
      <c r="F66" s="81">
        <f>IF(F65="","",F65*$C64)</f>
        <v>0</v>
      </c>
      <c r="G66" s="81">
        <f t="shared" ref="G66" si="36">IF(G65="","",G65*$C64)</f>
        <v>844248.09246633679</v>
      </c>
      <c r="H66" s="81">
        <f t="shared" ref="H66" si="37">IF(H65="","",H65*$C64)</f>
        <v>910096.34726095072</v>
      </c>
      <c r="I66" s="81">
        <f t="shared" ref="I66" si="38">IF(I65="","",I65*$C64)</f>
        <v>980694.38202270283</v>
      </c>
      <c r="J66" s="81">
        <f t="shared" ref="J66" si="39">IF(J65="","",J65*$C64)</f>
        <v>1059695.1033703354</v>
      </c>
      <c r="K66" s="81">
        <f t="shared" ref="K66" si="40">IF(K65="","",K65*$C64)</f>
        <v>1174416.8306224088</v>
      </c>
      <c r="L66" s="81">
        <f t="shared" ref="L66" si="41">IF(L65="","",L65*$C64)</f>
        <v>1378205.9718775759</v>
      </c>
      <c r="M66" s="81">
        <f t="shared" ref="M66" si="42">IF(M65="","",M65*$C64)</f>
        <v>1537814.0635746631</v>
      </c>
      <c r="N66" s="81">
        <f t="shared" ref="N66" si="43">IF(N65="","",N65*$C64)</f>
        <v>1719831.7121011307</v>
      </c>
      <c r="O66" s="81">
        <f t="shared" ref="O66" si="44">IF(O65="","",O65*$C64)</f>
        <v>1927782.8215583677</v>
      </c>
      <c r="P66" s="81">
        <f t="shared" ref="P66" si="45">IF(P65="","",P65*$C64)</f>
        <v>2165753.8975018137</v>
      </c>
      <c r="Q66" s="81" t="str">
        <f t="shared" ref="Q66" si="46">IF(Q65="","",Q65*$C64)</f>
        <v/>
      </c>
      <c r="R66" s="81" t="str">
        <f t="shared" ref="R66" si="47">IF(R65="","",R65*$C64)</f>
        <v/>
      </c>
      <c r="S66" s="81" t="str">
        <f t="shared" ref="S66" si="48">IF(S65="","",S65*$C64)</f>
        <v/>
      </c>
      <c r="T66" s="81" t="str">
        <f t="shared" ref="T66" si="49">IF(T65="","",T65*$C64)</f>
        <v/>
      </c>
      <c r="U66" s="81" t="str">
        <f t="shared" ref="U66" si="50">IF(U65="","",U65*$C64)</f>
        <v/>
      </c>
    </row>
    <row r="67" spans="2:21" x14ac:dyDescent="0.25">
      <c r="B67" s="39" t="s">
        <v>112</v>
      </c>
      <c r="C67" s="39"/>
      <c r="D67" s="39"/>
      <c r="E67" s="39"/>
      <c r="F67" s="81">
        <f t="shared" ref="F67:U67" si="51">IF(F65="","",-MIN(0,F$31*Equity_Share_LP))</f>
        <v>5276550.5779146049</v>
      </c>
      <c r="G67" s="81">
        <f t="shared" si="51"/>
        <v>0</v>
      </c>
      <c r="H67" s="81">
        <f t="shared" si="51"/>
        <v>0</v>
      </c>
      <c r="I67" s="81">
        <f t="shared" si="51"/>
        <v>0</v>
      </c>
      <c r="J67" s="81">
        <f t="shared" si="51"/>
        <v>0</v>
      </c>
      <c r="K67" s="81">
        <f t="shared" si="51"/>
        <v>99265.302222384606</v>
      </c>
      <c r="L67" s="81">
        <f t="shared" si="51"/>
        <v>0</v>
      </c>
      <c r="M67" s="81">
        <f t="shared" si="51"/>
        <v>0</v>
      </c>
      <c r="N67" s="81">
        <f t="shared" si="51"/>
        <v>0</v>
      </c>
      <c r="O67" s="81">
        <f t="shared" si="51"/>
        <v>0</v>
      </c>
      <c r="P67" s="81">
        <f t="shared" si="51"/>
        <v>0</v>
      </c>
      <c r="Q67" s="81" t="str">
        <f t="shared" si="51"/>
        <v/>
      </c>
      <c r="R67" s="81" t="str">
        <f t="shared" si="51"/>
        <v/>
      </c>
      <c r="S67" s="81" t="str">
        <f t="shared" si="51"/>
        <v/>
      </c>
      <c r="T67" s="81" t="str">
        <f t="shared" si="51"/>
        <v/>
      </c>
      <c r="U67" s="81" t="str">
        <f t="shared" si="51"/>
        <v/>
      </c>
    </row>
    <row r="68" spans="2:21" x14ac:dyDescent="0.25">
      <c r="B68" s="39" t="s">
        <v>117</v>
      </c>
      <c r="C68" s="39"/>
      <c r="D68" s="39"/>
      <c r="E68" s="39"/>
      <c r="F68" s="81">
        <f>IF(F65="","",F58+F43)</f>
        <v>0</v>
      </c>
      <c r="G68" s="81">
        <f t="shared" ref="G68:U68" si="52">IF(G65="","",G58+G43)</f>
        <v>432696.5</v>
      </c>
      <c r="H68" s="81">
        <f t="shared" si="52"/>
        <v>468858.62999999989</v>
      </c>
      <c r="I68" s="81">
        <f t="shared" si="52"/>
        <v>486939.87359999993</v>
      </c>
      <c r="J68" s="81">
        <f t="shared" si="52"/>
        <v>342684.30804487574</v>
      </c>
      <c r="K68" s="81">
        <f t="shared" si="52"/>
        <v>0</v>
      </c>
      <c r="L68" s="81">
        <f t="shared" si="52"/>
        <v>380655.39877078193</v>
      </c>
      <c r="M68" s="81">
        <f t="shared" si="52"/>
        <v>400203.7602842396</v>
      </c>
      <c r="N68" s="81">
        <f t="shared" si="52"/>
        <v>420137.27799339948</v>
      </c>
      <c r="O68" s="81">
        <f t="shared" si="52"/>
        <v>440463.59691182943</v>
      </c>
      <c r="P68" s="81">
        <f t="shared" si="52"/>
        <v>9363544.020689819</v>
      </c>
      <c r="Q68" s="81" t="str">
        <f t="shared" si="52"/>
        <v/>
      </c>
      <c r="R68" s="81" t="str">
        <f t="shared" si="52"/>
        <v/>
      </c>
      <c r="S68" s="81" t="str">
        <f t="shared" si="52"/>
        <v/>
      </c>
      <c r="T68" s="81" t="str">
        <f t="shared" si="52"/>
        <v/>
      </c>
      <c r="U68" s="81" t="str">
        <f t="shared" si="52"/>
        <v/>
      </c>
    </row>
    <row r="69" spans="2:21" x14ac:dyDescent="0.25">
      <c r="B69" s="39" t="str">
        <f>"Distributions to LP "&amp;B63</f>
        <v>Distributions to LP Hurdle 3</v>
      </c>
      <c r="C69" s="39"/>
      <c r="D69" s="39"/>
      <c r="E69" s="39"/>
      <c r="F69" s="81">
        <f>IF(F65="","",MIN(F65+F66-F68,F61))</f>
        <v>0</v>
      </c>
      <c r="G69" s="81">
        <f t="shared" ref="G69" si="53">IF(G65="","",MIN(G65+G66-G68,G61))</f>
        <v>0</v>
      </c>
      <c r="H69" s="81">
        <f t="shared" ref="H69" si="54">IF(H65="","",MIN(H65+H66-H68,H61))</f>
        <v>0</v>
      </c>
      <c r="I69" s="81">
        <f t="shared" ref="I69" si="55">IF(I65="","",MIN(I65+I66-I68,I61))</f>
        <v>0</v>
      </c>
      <c r="J69" s="81">
        <f t="shared" ref="J69" si="56">IF(J65="","",MIN(J65+J66-J68,J61))</f>
        <v>0</v>
      </c>
      <c r="K69" s="81">
        <f t="shared" ref="K69" si="57">IF(K65="","",MIN(K65+K66-K68,K61))</f>
        <v>0</v>
      </c>
      <c r="L69" s="81">
        <f t="shared" ref="L69" si="58">IF(L65="","",MIN(L65+L66-L68,L61))</f>
        <v>0</v>
      </c>
      <c r="M69" s="81">
        <f t="shared" ref="M69" si="59">IF(M65="","",MIN(M65+M66-M68,M61))</f>
        <v>0</v>
      </c>
      <c r="N69" s="81">
        <f t="shared" ref="N69" si="60">IF(N65="","",MIN(N65+N66-N68,N61))</f>
        <v>0</v>
      </c>
      <c r="O69" s="81">
        <f t="shared" ref="O69" si="61">IF(O65="","",MIN(O65+O66-O68,O61))</f>
        <v>0</v>
      </c>
      <c r="P69" s="81">
        <f t="shared" ref="P69" si="62">IF(P65="","",MIN(P65+P66-P68,P61))</f>
        <v>0</v>
      </c>
      <c r="Q69" s="81" t="str">
        <f t="shared" ref="Q69" si="63">IF(Q65="","",MIN(Q65+Q66-Q68,Q61))</f>
        <v/>
      </c>
      <c r="R69" s="81" t="str">
        <f t="shared" ref="R69" si="64">IF(R65="","",MIN(R65+R66-R68,R61))</f>
        <v/>
      </c>
      <c r="S69" s="81" t="str">
        <f t="shared" ref="S69" si="65">IF(S65="","",MIN(S65+S66-S68,S61))</f>
        <v/>
      </c>
      <c r="T69" s="81" t="str">
        <f t="shared" ref="T69" si="66">IF(T65="","",MIN(T65+T66-T68,T61))</f>
        <v/>
      </c>
      <c r="U69" s="81" t="str">
        <f t="shared" ref="U69" si="67">IF(U65="","",MIN(U65+U66-U68,U61))</f>
        <v/>
      </c>
    </row>
    <row r="70" spans="2:21" x14ac:dyDescent="0.25">
      <c r="B70" s="39" t="s">
        <v>111</v>
      </c>
      <c r="C70" s="39"/>
      <c r="D70" s="39"/>
      <c r="E70" s="39"/>
      <c r="F70" s="81">
        <f>F65+F67-F69</f>
        <v>5276550.5779146049</v>
      </c>
      <c r="G70" s="81">
        <f>IF(G65="","",G65+G66+G67-G68-G69)</f>
        <v>5688102.1703809416</v>
      </c>
      <c r="H70" s="81">
        <f t="shared" ref="H70" si="68">IF(H65="","",H65+H66+H67-H68-H69)</f>
        <v>6129339.8876418928</v>
      </c>
      <c r="I70" s="81">
        <f t="shared" ref="I70" si="69">IF(I65="","",I65+I66+I67-I68-I69)</f>
        <v>6623094.3960645963</v>
      </c>
      <c r="J70" s="81">
        <f t="shared" ref="J70" si="70">IF(J65="","",J65+J66+J67-J68-J69)</f>
        <v>7340105.1913900552</v>
      </c>
      <c r="K70" s="81">
        <f t="shared" ref="K70" si="71">IF(K65="","",K65+K66+K67-K68-K69)</f>
        <v>8613787.3242348488</v>
      </c>
      <c r="L70" s="81">
        <f t="shared" ref="L70" si="72">IF(L65="","",L65+L66+L67-L68-L69)</f>
        <v>9611337.8973416444</v>
      </c>
      <c r="M70" s="81">
        <f t="shared" ref="M70" si="73">IF(M65="","",M65+M66+M67-M68-M69)</f>
        <v>10748948.200632067</v>
      </c>
      <c r="N70" s="81">
        <f t="shared" ref="N70" si="74">IF(N65="","",N65+N66+N67-N68-N69)</f>
        <v>12048642.634739798</v>
      </c>
      <c r="O70" s="81">
        <f t="shared" ref="O70" si="75">IF(O65="","",O65+O66+O67-O68-O69)</f>
        <v>13535961.859386336</v>
      </c>
      <c r="P70" s="81">
        <f t="shared" ref="P70" si="76">IF(P65="","",P65+P66+P67-P68-P69)</f>
        <v>6338171.7361983303</v>
      </c>
      <c r="Q70" s="81" t="str">
        <f t="shared" ref="Q70" si="77">IF(Q65="","",Q65+Q66+Q67-Q68-Q69)</f>
        <v/>
      </c>
      <c r="R70" s="81" t="str">
        <f t="shared" ref="R70" si="78">IF(R65="","",R65+R66+R67-R68-R69)</f>
        <v/>
      </c>
      <c r="S70" s="81" t="str">
        <f t="shared" ref="S70" si="79">IF(S65="","",S65+S66+S67-S68-S69)</f>
        <v/>
      </c>
      <c r="T70" s="81" t="str">
        <f t="shared" ref="T70" si="80">IF(T65="","",T65+T66+T67-T68-T69)</f>
        <v/>
      </c>
      <c r="U70" s="81" t="str">
        <f t="shared" ref="U70" si="81">IF(U65="","",U65+U66+U67-U68-U69)</f>
        <v/>
      </c>
    </row>
    <row r="71" spans="2:21" x14ac:dyDescent="0.25">
      <c r="B71" s="137">
        <f>C64</f>
        <v>0.16</v>
      </c>
      <c r="C71" s="39"/>
      <c r="D71" s="39"/>
      <c r="E71" s="138">
        <f>IRR(F71:U71)</f>
        <v>0.11176143924622517</v>
      </c>
      <c r="F71" s="81">
        <f>IF(F65="","",-F67+F69)</f>
        <v>-5276550.5779146049</v>
      </c>
      <c r="G71" s="81">
        <f>IF(G65="","",-G67+G68+G69)</f>
        <v>432696.5</v>
      </c>
      <c r="H71" s="81">
        <f t="shared" ref="H71:U71" si="82">IF(H65="","",-H67+H68+H69)</f>
        <v>468858.62999999989</v>
      </c>
      <c r="I71" s="81">
        <f t="shared" si="82"/>
        <v>486939.87359999993</v>
      </c>
      <c r="J71" s="81">
        <f t="shared" si="82"/>
        <v>342684.30804487574</v>
      </c>
      <c r="K71" s="81">
        <f t="shared" si="82"/>
        <v>-99265.302222384606</v>
      </c>
      <c r="L71" s="81">
        <f t="shared" si="82"/>
        <v>380655.39877078193</v>
      </c>
      <c r="M71" s="81">
        <f t="shared" si="82"/>
        <v>400203.7602842396</v>
      </c>
      <c r="N71" s="81">
        <f t="shared" si="82"/>
        <v>420137.27799339948</v>
      </c>
      <c r="O71" s="81">
        <f t="shared" si="82"/>
        <v>440463.59691182943</v>
      </c>
      <c r="P71" s="81">
        <f t="shared" si="82"/>
        <v>9363544.020689819</v>
      </c>
      <c r="Q71" s="81" t="str">
        <f t="shared" si="82"/>
        <v/>
      </c>
      <c r="R71" s="81" t="str">
        <f t="shared" si="82"/>
        <v/>
      </c>
      <c r="S71" s="81" t="str">
        <f t="shared" si="82"/>
        <v/>
      </c>
      <c r="T71" s="81" t="str">
        <f t="shared" si="82"/>
        <v/>
      </c>
      <c r="U71" s="81" t="str">
        <f t="shared" si="82"/>
        <v/>
      </c>
    </row>
    <row r="72" spans="2:21" x14ac:dyDescent="0.25">
      <c r="B72" s="106" t="s">
        <v>20</v>
      </c>
      <c r="C72" s="106" t="s">
        <v>20</v>
      </c>
      <c r="D72" s="106" t="s">
        <v>20</v>
      </c>
      <c r="E72" s="106" t="s">
        <v>20</v>
      </c>
      <c r="F72" s="107" t="str">
        <f>IF(F65="","",".")</f>
        <v>.</v>
      </c>
      <c r="G72" s="107" t="str">
        <f t="shared" ref="G72:U72" si="83">IF(G65="","",".")</f>
        <v>.</v>
      </c>
      <c r="H72" s="107" t="str">
        <f t="shared" si="83"/>
        <v>.</v>
      </c>
      <c r="I72" s="107" t="str">
        <f t="shared" si="83"/>
        <v>.</v>
      </c>
      <c r="J72" s="107" t="str">
        <f t="shared" si="83"/>
        <v>.</v>
      </c>
      <c r="K72" s="107" t="str">
        <f t="shared" si="83"/>
        <v>.</v>
      </c>
      <c r="L72" s="107" t="str">
        <f t="shared" si="83"/>
        <v>.</v>
      </c>
      <c r="M72" s="107" t="str">
        <f t="shared" si="83"/>
        <v>.</v>
      </c>
      <c r="N72" s="107" t="str">
        <f t="shared" si="83"/>
        <v>.</v>
      </c>
      <c r="O72" s="107" t="str">
        <f t="shared" si="83"/>
        <v>.</v>
      </c>
      <c r="P72" s="107" t="str">
        <f t="shared" si="83"/>
        <v>.</v>
      </c>
      <c r="Q72" s="107" t="str">
        <f t="shared" si="83"/>
        <v/>
      </c>
      <c r="R72" s="107" t="str">
        <f t="shared" si="83"/>
        <v/>
      </c>
      <c r="S72" s="107" t="str">
        <f t="shared" si="83"/>
        <v/>
      </c>
      <c r="T72" s="107" t="str">
        <f t="shared" si="83"/>
        <v/>
      </c>
      <c r="U72" s="107" t="str">
        <f t="shared" si="83"/>
        <v/>
      </c>
    </row>
    <row r="73" spans="2:21" x14ac:dyDescent="0.25">
      <c r="B73" s="39" t="s">
        <v>114</v>
      </c>
      <c r="C73" s="39"/>
      <c r="D73" s="39"/>
      <c r="E73" s="39"/>
      <c r="F73" s="81">
        <f>IF(F65="","",F69)</f>
        <v>0</v>
      </c>
      <c r="G73" s="81">
        <f t="shared" ref="G73:U73" si="84">IF(G65="","",G69)</f>
        <v>0</v>
      </c>
      <c r="H73" s="81">
        <f t="shared" si="84"/>
        <v>0</v>
      </c>
      <c r="I73" s="81">
        <f t="shared" si="84"/>
        <v>0</v>
      </c>
      <c r="J73" s="81">
        <f t="shared" si="84"/>
        <v>0</v>
      </c>
      <c r="K73" s="81">
        <f t="shared" si="84"/>
        <v>0</v>
      </c>
      <c r="L73" s="81">
        <f t="shared" si="84"/>
        <v>0</v>
      </c>
      <c r="M73" s="81">
        <f t="shared" si="84"/>
        <v>0</v>
      </c>
      <c r="N73" s="81">
        <f t="shared" si="84"/>
        <v>0</v>
      </c>
      <c r="O73" s="81">
        <f t="shared" si="84"/>
        <v>0</v>
      </c>
      <c r="P73" s="81">
        <f t="shared" si="84"/>
        <v>0</v>
      </c>
      <c r="Q73" s="81" t="str">
        <f t="shared" si="84"/>
        <v/>
      </c>
      <c r="R73" s="81" t="str">
        <f t="shared" si="84"/>
        <v/>
      </c>
      <c r="S73" s="81" t="str">
        <f t="shared" si="84"/>
        <v/>
      </c>
      <c r="T73" s="81" t="str">
        <f t="shared" si="84"/>
        <v/>
      </c>
      <c r="U73" s="81" t="str">
        <f t="shared" si="84"/>
        <v/>
      </c>
    </row>
    <row r="74" spans="2:21" x14ac:dyDescent="0.25">
      <c r="B74" s="39" t="s">
        <v>113</v>
      </c>
      <c r="C74" s="39"/>
      <c r="D74" s="39"/>
      <c r="E74" s="39"/>
      <c r="F74" s="81">
        <f t="shared" ref="F74:U74" si="85">IF(F65="","",F73/VLOOKUP($B63,Promote_Structure,8,FALSE)*VLOOKUP($B63,Promote_Structure,7,FALSE))</f>
        <v>0</v>
      </c>
      <c r="G74" s="81">
        <f t="shared" si="85"/>
        <v>0</v>
      </c>
      <c r="H74" s="81">
        <f t="shared" si="85"/>
        <v>0</v>
      </c>
      <c r="I74" s="81">
        <f t="shared" si="85"/>
        <v>0</v>
      </c>
      <c r="J74" s="81">
        <f t="shared" si="85"/>
        <v>0</v>
      </c>
      <c r="K74" s="81">
        <f t="shared" si="85"/>
        <v>0</v>
      </c>
      <c r="L74" s="81">
        <f t="shared" si="85"/>
        <v>0</v>
      </c>
      <c r="M74" s="81">
        <f t="shared" si="85"/>
        <v>0</v>
      </c>
      <c r="N74" s="81">
        <f t="shared" si="85"/>
        <v>0</v>
      </c>
      <c r="O74" s="81">
        <f t="shared" si="85"/>
        <v>0</v>
      </c>
      <c r="P74" s="81">
        <f t="shared" si="85"/>
        <v>0</v>
      </c>
      <c r="Q74" s="81" t="str">
        <f t="shared" si="85"/>
        <v/>
      </c>
      <c r="R74" s="81" t="str">
        <f t="shared" si="85"/>
        <v/>
      </c>
      <c r="S74" s="81" t="str">
        <f t="shared" si="85"/>
        <v/>
      </c>
      <c r="T74" s="81" t="str">
        <f t="shared" si="85"/>
        <v/>
      </c>
      <c r="U74" s="81" t="str">
        <f t="shared" si="85"/>
        <v/>
      </c>
    </row>
    <row r="75" spans="2:21" x14ac:dyDescent="0.25">
      <c r="B75" s="39" t="str">
        <f>"Total Distributions ("&amp;B63&amp;")"</f>
        <v>Total Distributions (Hurdle 3)</v>
      </c>
      <c r="C75" s="39"/>
      <c r="D75" s="39"/>
      <c r="E75" s="39"/>
      <c r="F75" s="81">
        <f>IF(F65="","",F73+F74)</f>
        <v>0</v>
      </c>
      <c r="G75" s="81">
        <f t="shared" ref="G75" si="86">IF(G65="","",G73+G74)</f>
        <v>0</v>
      </c>
      <c r="H75" s="81">
        <f t="shared" ref="H75" si="87">IF(H65="","",H73+H74)</f>
        <v>0</v>
      </c>
      <c r="I75" s="81">
        <f t="shared" ref="I75" si="88">IF(I65="","",I73+I74)</f>
        <v>0</v>
      </c>
      <c r="J75" s="81">
        <f t="shared" ref="J75" si="89">IF(J65="","",J73+J74)</f>
        <v>0</v>
      </c>
      <c r="K75" s="81">
        <f t="shared" ref="K75" si="90">IF(K65="","",K73+K74)</f>
        <v>0</v>
      </c>
      <c r="L75" s="81">
        <f t="shared" ref="L75" si="91">IF(L65="","",L73+L74)</f>
        <v>0</v>
      </c>
      <c r="M75" s="81">
        <f t="shared" ref="M75" si="92">IF(M65="","",M73+M74)</f>
        <v>0</v>
      </c>
      <c r="N75" s="81">
        <f t="shared" ref="N75" si="93">IF(N65="","",N73+N74)</f>
        <v>0</v>
      </c>
      <c r="O75" s="81">
        <f t="shared" ref="O75" si="94">IF(O65="","",O73+O74)</f>
        <v>0</v>
      </c>
      <c r="P75" s="81">
        <f t="shared" ref="P75" si="95">IF(P65="","",P73+P74)</f>
        <v>0</v>
      </c>
      <c r="Q75" s="81" t="str">
        <f t="shared" ref="Q75" si="96">IF(Q65="","",Q73+Q74)</f>
        <v/>
      </c>
      <c r="R75" s="81" t="str">
        <f t="shared" ref="R75" si="97">IF(R65="","",R73+R74)</f>
        <v/>
      </c>
      <c r="S75" s="81" t="str">
        <f t="shared" ref="S75" si="98">IF(S65="","",S73+S74)</f>
        <v/>
      </c>
      <c r="T75" s="81" t="str">
        <f t="shared" ref="T75" si="99">IF(T65="","",T73+T74)</f>
        <v/>
      </c>
      <c r="U75" s="81" t="str">
        <f t="shared" ref="U75" si="100">IF(U65="","",U73+U74)</f>
        <v/>
      </c>
    </row>
    <row r="76" spans="2:21" x14ac:dyDescent="0.25">
      <c r="B76" s="39" t="s">
        <v>115</v>
      </c>
      <c r="C76" s="39"/>
      <c r="D76" s="39"/>
      <c r="E76" s="39"/>
      <c r="F76" s="81">
        <f>IF(F65="","",MAX(F$31-F45-F60-F75,0))</f>
        <v>0</v>
      </c>
      <c r="G76" s="81">
        <f t="shared" ref="G76:U76" si="101">IF(G65="","",MAX(G$31-G45-G60-G75,0))</f>
        <v>0</v>
      </c>
      <c r="H76" s="81">
        <f t="shared" si="101"/>
        <v>0</v>
      </c>
      <c r="I76" s="81">
        <f t="shared" si="101"/>
        <v>0</v>
      </c>
      <c r="J76" s="81">
        <f t="shared" si="101"/>
        <v>0</v>
      </c>
      <c r="K76" s="81">
        <f t="shared" si="101"/>
        <v>0</v>
      </c>
      <c r="L76" s="81">
        <f t="shared" si="101"/>
        <v>0</v>
      </c>
      <c r="M76" s="81">
        <f t="shared" si="101"/>
        <v>0</v>
      </c>
      <c r="N76" s="81">
        <f t="shared" si="101"/>
        <v>0</v>
      </c>
      <c r="O76" s="81">
        <f t="shared" si="101"/>
        <v>0</v>
      </c>
      <c r="P76" s="81">
        <f t="shared" si="101"/>
        <v>0</v>
      </c>
      <c r="Q76" s="81" t="str">
        <f t="shared" si="101"/>
        <v/>
      </c>
      <c r="R76" s="81" t="str">
        <f t="shared" si="101"/>
        <v/>
      </c>
      <c r="S76" s="81" t="str">
        <f t="shared" si="101"/>
        <v/>
      </c>
      <c r="T76" s="81" t="str">
        <f t="shared" si="101"/>
        <v/>
      </c>
      <c r="U76" s="81" t="str">
        <f t="shared" si="101"/>
        <v/>
      </c>
    </row>
    <row r="78" spans="2:21" ht="15.75" x14ac:dyDescent="0.25">
      <c r="B78" s="38" t="s">
        <v>98</v>
      </c>
      <c r="C78" s="39"/>
      <c r="D78" s="39"/>
      <c r="E78" s="39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39"/>
      <c r="R78" s="39"/>
      <c r="S78" s="39"/>
      <c r="T78" s="39"/>
      <c r="U78" s="39"/>
    </row>
    <row r="79" spans="2:21" x14ac:dyDescent="0.25">
      <c r="B79" s="135" t="s">
        <v>107</v>
      </c>
      <c r="C79" s="136" t="s">
        <v>132</v>
      </c>
      <c r="D79" s="115"/>
      <c r="E79" s="115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115"/>
      <c r="R79" s="115"/>
      <c r="S79" s="115"/>
      <c r="T79" s="115"/>
      <c r="U79" s="115"/>
    </row>
    <row r="80" spans="2:21" x14ac:dyDescent="0.25">
      <c r="B80" s="39" t="s">
        <v>114</v>
      </c>
      <c r="C80" s="39"/>
      <c r="D80" s="39"/>
      <c r="E80" s="39"/>
      <c r="F80" s="81">
        <f>IF(F65="","",F76*$I$12)</f>
        <v>0</v>
      </c>
      <c r="G80" s="81">
        <f t="shared" ref="G80:U80" si="102">IF(G65="","",G76*$I$12)</f>
        <v>0</v>
      </c>
      <c r="H80" s="81">
        <f t="shared" si="102"/>
        <v>0</v>
      </c>
      <c r="I80" s="81">
        <f t="shared" si="102"/>
        <v>0</v>
      </c>
      <c r="J80" s="81">
        <f t="shared" si="102"/>
        <v>0</v>
      </c>
      <c r="K80" s="81">
        <f t="shared" si="102"/>
        <v>0</v>
      </c>
      <c r="L80" s="81">
        <f t="shared" si="102"/>
        <v>0</v>
      </c>
      <c r="M80" s="81">
        <f t="shared" si="102"/>
        <v>0</v>
      </c>
      <c r="N80" s="81">
        <f t="shared" si="102"/>
        <v>0</v>
      </c>
      <c r="O80" s="81">
        <f t="shared" si="102"/>
        <v>0</v>
      </c>
      <c r="P80" s="81">
        <f t="shared" si="102"/>
        <v>0</v>
      </c>
      <c r="Q80" s="81" t="str">
        <f t="shared" si="102"/>
        <v/>
      </c>
      <c r="R80" s="81" t="str">
        <f t="shared" si="102"/>
        <v/>
      </c>
      <c r="S80" s="81" t="str">
        <f t="shared" si="102"/>
        <v/>
      </c>
      <c r="T80" s="81" t="str">
        <f t="shared" si="102"/>
        <v/>
      </c>
      <c r="U80" s="81" t="str">
        <f t="shared" si="102"/>
        <v/>
      </c>
    </row>
    <row r="81" spans="2:21" x14ac:dyDescent="0.25">
      <c r="B81" s="39" t="s">
        <v>113</v>
      </c>
      <c r="C81" s="39"/>
      <c r="D81" s="39"/>
      <c r="E81" s="39"/>
      <c r="F81" s="81">
        <f>IF(F80="","",F76-F80)</f>
        <v>0</v>
      </c>
      <c r="G81" s="81">
        <f t="shared" ref="G81:U81" si="103">IF(G80="","",G76-G80)</f>
        <v>0</v>
      </c>
      <c r="H81" s="81">
        <f t="shared" si="103"/>
        <v>0</v>
      </c>
      <c r="I81" s="81">
        <f t="shared" si="103"/>
        <v>0</v>
      </c>
      <c r="J81" s="81">
        <f t="shared" si="103"/>
        <v>0</v>
      </c>
      <c r="K81" s="81">
        <f t="shared" si="103"/>
        <v>0</v>
      </c>
      <c r="L81" s="81">
        <f t="shared" si="103"/>
        <v>0</v>
      </c>
      <c r="M81" s="81">
        <f t="shared" si="103"/>
        <v>0</v>
      </c>
      <c r="N81" s="81">
        <f t="shared" si="103"/>
        <v>0</v>
      </c>
      <c r="O81" s="81">
        <f t="shared" si="103"/>
        <v>0</v>
      </c>
      <c r="P81" s="81">
        <f t="shared" si="103"/>
        <v>0</v>
      </c>
      <c r="Q81" s="81" t="str">
        <f t="shared" si="103"/>
        <v/>
      </c>
      <c r="R81" s="81" t="str">
        <f t="shared" si="103"/>
        <v/>
      </c>
      <c r="S81" s="81" t="str">
        <f t="shared" si="103"/>
        <v/>
      </c>
      <c r="T81" s="81" t="str">
        <f t="shared" si="103"/>
        <v/>
      </c>
      <c r="U81" s="81" t="str">
        <f t="shared" si="103"/>
        <v/>
      </c>
    </row>
    <row r="82" spans="2:21" x14ac:dyDescent="0.25">
      <c r="B82" s="39" t="str">
        <f>"Total Distributions ("&amp;B78&amp;")"</f>
        <v>Total Distributions (Hurdle 4)</v>
      </c>
      <c r="C82" s="39"/>
      <c r="D82" s="39"/>
      <c r="E82" s="39"/>
      <c r="F82" s="81">
        <f>IF(F80="","",F80+F81)</f>
        <v>0</v>
      </c>
      <c r="G82" s="81">
        <f t="shared" ref="G82:U82" si="104">IF(G80="","",G80+G81)</f>
        <v>0</v>
      </c>
      <c r="H82" s="81">
        <f t="shared" si="104"/>
        <v>0</v>
      </c>
      <c r="I82" s="81">
        <f t="shared" si="104"/>
        <v>0</v>
      </c>
      <c r="J82" s="81">
        <f t="shared" si="104"/>
        <v>0</v>
      </c>
      <c r="K82" s="81">
        <f t="shared" si="104"/>
        <v>0</v>
      </c>
      <c r="L82" s="81">
        <f t="shared" si="104"/>
        <v>0</v>
      </c>
      <c r="M82" s="81">
        <f t="shared" si="104"/>
        <v>0</v>
      </c>
      <c r="N82" s="81">
        <f t="shared" si="104"/>
        <v>0</v>
      </c>
      <c r="O82" s="81">
        <f t="shared" si="104"/>
        <v>0</v>
      </c>
      <c r="P82" s="81">
        <f t="shared" si="104"/>
        <v>0</v>
      </c>
      <c r="Q82" s="81" t="str">
        <f t="shared" si="104"/>
        <v/>
      </c>
      <c r="R82" s="81" t="str">
        <f t="shared" si="104"/>
        <v/>
      </c>
      <c r="S82" s="81" t="str">
        <f t="shared" si="104"/>
        <v/>
      </c>
      <c r="T82" s="81" t="str">
        <f t="shared" si="104"/>
        <v/>
      </c>
      <c r="U82" s="81" t="str">
        <f t="shared" si="104"/>
        <v/>
      </c>
    </row>
    <row r="83" spans="2:21" x14ac:dyDescent="0.25">
      <c r="B83" s="39" t="s">
        <v>115</v>
      </c>
      <c r="C83" s="39"/>
      <c r="D83" s="39"/>
      <c r="E83" s="39"/>
      <c r="F83" s="81">
        <f>IF(F80="","",F76-F82)</f>
        <v>0</v>
      </c>
      <c r="G83" s="81">
        <f t="shared" ref="G83:U83" si="105">IF(G80="","",G76-G82)</f>
        <v>0</v>
      </c>
      <c r="H83" s="81">
        <f t="shared" si="105"/>
        <v>0</v>
      </c>
      <c r="I83" s="81">
        <f t="shared" si="105"/>
        <v>0</v>
      </c>
      <c r="J83" s="81">
        <f t="shared" si="105"/>
        <v>0</v>
      </c>
      <c r="K83" s="81">
        <f t="shared" si="105"/>
        <v>0</v>
      </c>
      <c r="L83" s="81">
        <f t="shared" si="105"/>
        <v>0</v>
      </c>
      <c r="M83" s="81">
        <f t="shared" si="105"/>
        <v>0</v>
      </c>
      <c r="N83" s="81">
        <f t="shared" si="105"/>
        <v>0</v>
      </c>
      <c r="O83" s="81">
        <f t="shared" si="105"/>
        <v>0</v>
      </c>
      <c r="P83" s="81">
        <f t="shared" si="105"/>
        <v>0</v>
      </c>
      <c r="Q83" s="81" t="str">
        <f t="shared" si="105"/>
        <v/>
      </c>
      <c r="R83" s="81" t="str">
        <f t="shared" si="105"/>
        <v/>
      </c>
      <c r="S83" s="81" t="str">
        <f t="shared" si="105"/>
        <v/>
      </c>
      <c r="T83" s="81" t="str">
        <f t="shared" si="105"/>
        <v/>
      </c>
      <c r="U83" s="81" t="str">
        <f t="shared" si="105"/>
        <v/>
      </c>
    </row>
  </sheetData>
  <conditionalFormatting sqref="B34:U46 C68:U68 B69:U76 B80:U83">
    <cfRule type="expression" dxfId="28" priority="22">
      <formula>B$42=""</formula>
    </cfRule>
  </conditionalFormatting>
  <conditionalFormatting sqref="B35:U35">
    <cfRule type="expression" dxfId="27" priority="21">
      <formula>B$42=""</formula>
    </cfRule>
  </conditionalFormatting>
  <conditionalFormatting sqref="B48:U61">
    <cfRule type="expression" dxfId="26" priority="20">
      <formula>B$42=""</formula>
    </cfRule>
  </conditionalFormatting>
  <conditionalFormatting sqref="B49:U49">
    <cfRule type="expression" dxfId="25" priority="19">
      <formula>B$42=""</formula>
    </cfRule>
  </conditionalFormatting>
  <conditionalFormatting sqref="B2:U2">
    <cfRule type="expression" dxfId="24" priority="18">
      <formula>B$42=""</formula>
    </cfRule>
  </conditionalFormatting>
  <conditionalFormatting sqref="B78:U79">
    <cfRule type="expression" dxfId="23" priority="7">
      <formula>B$42=""</formula>
    </cfRule>
  </conditionalFormatting>
  <conditionalFormatting sqref="B79:U79">
    <cfRule type="expression" dxfId="22" priority="6">
      <formula>B$42=""</formula>
    </cfRule>
  </conditionalFormatting>
  <conditionalFormatting sqref="B63:U67">
    <cfRule type="expression" dxfId="21" priority="10">
      <formula>B$42=""</formula>
    </cfRule>
  </conditionalFormatting>
  <conditionalFormatting sqref="B64:U64">
    <cfRule type="expression" dxfId="20" priority="9">
      <formula>B$42=""</formula>
    </cfRule>
  </conditionalFormatting>
  <conditionalFormatting sqref="B68">
    <cfRule type="expression" dxfId="19" priority="8">
      <formula>B$42=""</formula>
    </cfRule>
  </conditionalFormatting>
  <conditionalFormatting sqref="B29:V32">
    <cfRule type="expression" dxfId="18" priority="4">
      <formula>B$42=""</formula>
    </cfRule>
  </conditionalFormatting>
  <conditionalFormatting sqref="F14:V14">
    <cfRule type="expression" dxfId="17" priority="2">
      <formula>B$42=""</formula>
    </cfRule>
  </conditionalFormatting>
  <conditionalFormatting sqref="B14:U27">
    <cfRule type="expression" dxfId="16" priority="1">
      <formula>B$42=""</formula>
    </cfRule>
  </conditionalFormatting>
  <pageMargins left="0.7" right="0.7" top="0.75" bottom="0.75" header="0.3" footer="0.3"/>
  <pageSetup scale="35" orientation="portrait" horizontalDpi="4294967294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</sheetPr>
  <dimension ref="A1:V35"/>
  <sheetViews>
    <sheetView showGridLines="0" zoomScale="85" zoomScaleNormal="85" workbookViewId="0"/>
  </sheetViews>
  <sheetFormatPr defaultRowHeight="15" x14ac:dyDescent="0.25"/>
  <cols>
    <col min="1" max="1" width="2" style="53" customWidth="1"/>
    <col min="2" max="2" width="12.85546875" style="53" customWidth="1"/>
    <col min="3" max="3" width="18.140625" style="53" customWidth="1"/>
    <col min="4" max="4" width="9.140625" style="53"/>
    <col min="5" max="5" width="13.5703125" style="95" bestFit="1" customWidth="1"/>
    <col min="6" max="15" width="10.85546875" style="95" bestFit="1" customWidth="1"/>
    <col min="16" max="16384" width="9.140625" style="95"/>
  </cols>
  <sheetData>
    <row r="1" spans="2:22" s="53" customFormat="1" ht="9.9499999999999993" customHeight="1" x14ac:dyDescent="0.25"/>
    <row r="2" spans="2:22" s="53" customFormat="1" ht="15.75" x14ac:dyDescent="0.25">
      <c r="B2" s="38" t="s">
        <v>165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2:22" s="53" customFormat="1" x14ac:dyDescent="0.25">
      <c r="B3" s="87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spans="2:22" s="53" customFormat="1" x14ac:dyDescent="0.25">
      <c r="B4" s="39"/>
      <c r="C4" s="39"/>
      <c r="D4" s="39"/>
      <c r="E4" s="88" t="s">
        <v>142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2:22" s="55" customFormat="1" x14ac:dyDescent="0.25">
      <c r="B5" s="89" t="s">
        <v>141</v>
      </c>
      <c r="C5" s="90"/>
      <c r="D5" s="90"/>
      <c r="E5" s="42">
        <f>'Property Returns'!D3</f>
        <v>1</v>
      </c>
      <c r="F5" s="42">
        <f>'Property Returns'!E3</f>
        <v>2</v>
      </c>
      <c r="G5" s="42">
        <f>'Property Returns'!F3</f>
        <v>3</v>
      </c>
      <c r="H5" s="42">
        <f>'Property Returns'!G3</f>
        <v>4</v>
      </c>
      <c r="I5" s="42">
        <f>'Property Returns'!H3</f>
        <v>5</v>
      </c>
      <c r="J5" s="42">
        <f>'Property Returns'!I3</f>
        <v>6</v>
      </c>
      <c r="K5" s="42">
        <f>'Property Returns'!J3</f>
        <v>7</v>
      </c>
      <c r="L5" s="42">
        <f>'Property Returns'!K3</f>
        <v>8</v>
      </c>
      <c r="M5" s="42">
        <f>'Property Returns'!L3</f>
        <v>9</v>
      </c>
      <c r="N5" s="42">
        <f>'Property Returns'!M3</f>
        <v>10</v>
      </c>
      <c r="O5" s="42">
        <f>'Property Returns'!N3</f>
        <v>11</v>
      </c>
      <c r="P5" s="42" t="str">
        <f>'Property Returns'!O3</f>
        <v/>
      </c>
      <c r="Q5" s="42" t="str">
        <f>'Property Returns'!P3</f>
        <v/>
      </c>
      <c r="R5" s="42" t="str">
        <f>'Property Returns'!Q3</f>
        <v/>
      </c>
      <c r="S5" s="42" t="str">
        <f>'Property Returns'!R3</f>
        <v/>
      </c>
      <c r="T5" s="42" t="str">
        <f>'Property Returns'!S3</f>
        <v/>
      </c>
      <c r="U5" s="54"/>
      <c r="V5" s="54"/>
    </row>
    <row r="6" spans="2:22" x14ac:dyDescent="0.25">
      <c r="B6" s="91">
        <v>0.02</v>
      </c>
      <c r="C6" s="92" t="s">
        <v>148</v>
      </c>
      <c r="D6" s="39"/>
      <c r="E6" s="93">
        <v>1750000</v>
      </c>
      <c r="F6" s="94">
        <f>IF(F$5="","",(E6*(1+$B6)))</f>
        <v>1785000</v>
      </c>
      <c r="G6" s="94">
        <f t="shared" ref="G6:T6" si="0">IF(G$5="","",(F6*(1+$B6)))</f>
        <v>1820700</v>
      </c>
      <c r="H6" s="94">
        <f t="shared" si="0"/>
        <v>1857114</v>
      </c>
      <c r="I6" s="94">
        <f t="shared" si="0"/>
        <v>1894256.28</v>
      </c>
      <c r="J6" s="94">
        <f t="shared" si="0"/>
        <v>1932141.4056000002</v>
      </c>
      <c r="K6" s="94">
        <f t="shared" si="0"/>
        <v>1970784.2337120003</v>
      </c>
      <c r="L6" s="94">
        <f t="shared" si="0"/>
        <v>2010199.9183862403</v>
      </c>
      <c r="M6" s="94">
        <f t="shared" si="0"/>
        <v>2050403.9167539652</v>
      </c>
      <c r="N6" s="94">
        <f t="shared" si="0"/>
        <v>2091411.9950890446</v>
      </c>
      <c r="O6" s="94">
        <f t="shared" si="0"/>
        <v>2133240.2349908254</v>
      </c>
      <c r="P6" s="94" t="str">
        <f t="shared" si="0"/>
        <v/>
      </c>
      <c r="Q6" s="94" t="str">
        <f t="shared" si="0"/>
        <v/>
      </c>
      <c r="R6" s="94" t="str">
        <f t="shared" si="0"/>
        <v/>
      </c>
      <c r="S6" s="94" t="str">
        <f t="shared" si="0"/>
        <v/>
      </c>
      <c r="T6" s="94" t="str">
        <f t="shared" si="0"/>
        <v/>
      </c>
    </row>
    <row r="7" spans="2:22" x14ac:dyDescent="0.25">
      <c r="B7" s="91">
        <v>0.02</v>
      </c>
      <c r="C7" s="92" t="s">
        <v>143</v>
      </c>
      <c r="D7" s="96"/>
      <c r="E7" s="93">
        <v>225000</v>
      </c>
      <c r="F7" s="94">
        <f t="shared" ref="F7:T7" si="1">IF(F$5="","",(E7*(1+$B7)))</f>
        <v>229500</v>
      </c>
      <c r="G7" s="94">
        <f t="shared" si="1"/>
        <v>234090</v>
      </c>
      <c r="H7" s="94">
        <f t="shared" si="1"/>
        <v>238771.80000000002</v>
      </c>
      <c r="I7" s="94">
        <f t="shared" si="1"/>
        <v>243547.23600000003</v>
      </c>
      <c r="J7" s="94">
        <f t="shared" si="1"/>
        <v>248418.18072000003</v>
      </c>
      <c r="K7" s="94">
        <f t="shared" si="1"/>
        <v>253386.54433440004</v>
      </c>
      <c r="L7" s="94">
        <f t="shared" si="1"/>
        <v>258454.27522108806</v>
      </c>
      <c r="M7" s="94">
        <f t="shared" si="1"/>
        <v>263623.36072550982</v>
      </c>
      <c r="N7" s="94">
        <f t="shared" si="1"/>
        <v>268895.82794002001</v>
      </c>
      <c r="O7" s="94">
        <f t="shared" si="1"/>
        <v>274273.74449882039</v>
      </c>
      <c r="P7" s="94" t="str">
        <f t="shared" si="1"/>
        <v/>
      </c>
      <c r="Q7" s="94" t="str">
        <f t="shared" si="1"/>
        <v/>
      </c>
      <c r="R7" s="94" t="str">
        <f t="shared" si="1"/>
        <v/>
      </c>
      <c r="S7" s="94" t="str">
        <f t="shared" si="1"/>
        <v/>
      </c>
      <c r="T7" s="94" t="str">
        <f t="shared" si="1"/>
        <v/>
      </c>
    </row>
    <row r="8" spans="2:22" x14ac:dyDescent="0.25">
      <c r="B8" s="91">
        <v>0.01</v>
      </c>
      <c r="C8" s="92" t="s">
        <v>144</v>
      </c>
      <c r="D8" s="39"/>
      <c r="E8" s="93">
        <v>100000</v>
      </c>
      <c r="F8" s="94">
        <f t="shared" ref="F8:T8" si="2">IF(F$5="","",(E8*(1+$B8)))</f>
        <v>101000</v>
      </c>
      <c r="G8" s="94">
        <f t="shared" si="2"/>
        <v>102010</v>
      </c>
      <c r="H8" s="94">
        <f t="shared" si="2"/>
        <v>103030.1</v>
      </c>
      <c r="I8" s="94">
        <f t="shared" si="2"/>
        <v>104060.40100000001</v>
      </c>
      <c r="J8" s="94">
        <f t="shared" si="2"/>
        <v>105101.00501000001</v>
      </c>
      <c r="K8" s="94">
        <f t="shared" si="2"/>
        <v>106152.01506010001</v>
      </c>
      <c r="L8" s="94">
        <f t="shared" si="2"/>
        <v>107213.53521070101</v>
      </c>
      <c r="M8" s="94">
        <f t="shared" si="2"/>
        <v>108285.67056280802</v>
      </c>
      <c r="N8" s="94">
        <f t="shared" si="2"/>
        <v>109368.52726843611</v>
      </c>
      <c r="O8" s="94">
        <f t="shared" si="2"/>
        <v>110462.21254112048</v>
      </c>
      <c r="P8" s="94" t="str">
        <f t="shared" si="2"/>
        <v/>
      </c>
      <c r="Q8" s="94" t="str">
        <f t="shared" si="2"/>
        <v/>
      </c>
      <c r="R8" s="94" t="str">
        <f t="shared" si="2"/>
        <v/>
      </c>
      <c r="S8" s="94" t="str">
        <f t="shared" si="2"/>
        <v/>
      </c>
      <c r="T8" s="94" t="str">
        <f t="shared" si="2"/>
        <v/>
      </c>
    </row>
    <row r="9" spans="2:22" x14ac:dyDescent="0.25">
      <c r="B9" s="97">
        <f>RATE(Analysis_Period-1,,-E9,LOOKUP(Analysis_Period,$E$5:$T$5,E9:T9))</f>
        <v>1.9535700888407337E-2</v>
      </c>
      <c r="C9" s="87" t="s">
        <v>145</v>
      </c>
      <c r="D9" s="87"/>
      <c r="E9" s="98">
        <f>IF(E$5="","",SUM(E6:E8))</f>
        <v>2075000</v>
      </c>
      <c r="F9" s="98">
        <f t="shared" ref="F9:T9" si="3">IF(F$5="","",SUM(F6:F8))</f>
        <v>2115500</v>
      </c>
      <c r="G9" s="98">
        <f t="shared" si="3"/>
        <v>2156800</v>
      </c>
      <c r="H9" s="98">
        <f t="shared" si="3"/>
        <v>2198915.9</v>
      </c>
      <c r="I9" s="98">
        <f t="shared" si="3"/>
        <v>2241863.9169999999</v>
      </c>
      <c r="J9" s="98">
        <f t="shared" si="3"/>
        <v>2285660.5913300002</v>
      </c>
      <c r="K9" s="98">
        <f t="shared" si="3"/>
        <v>2330322.7931065001</v>
      </c>
      <c r="L9" s="98">
        <f t="shared" si="3"/>
        <v>2375867.7288180296</v>
      </c>
      <c r="M9" s="98">
        <f t="shared" si="3"/>
        <v>2422312.9480422828</v>
      </c>
      <c r="N9" s="98">
        <f t="shared" si="3"/>
        <v>2469676.3502975008</v>
      </c>
      <c r="O9" s="98">
        <f t="shared" si="3"/>
        <v>2517976.1920307665</v>
      </c>
      <c r="P9" s="98" t="str">
        <f t="shared" si="3"/>
        <v/>
      </c>
      <c r="Q9" s="98" t="str">
        <f t="shared" si="3"/>
        <v/>
      </c>
      <c r="R9" s="98" t="str">
        <f t="shared" si="3"/>
        <v/>
      </c>
      <c r="S9" s="98" t="str">
        <f t="shared" si="3"/>
        <v/>
      </c>
      <c r="T9" s="98" t="str">
        <f t="shared" si="3"/>
        <v/>
      </c>
    </row>
    <row r="10" spans="2:22" x14ac:dyDescent="0.25">
      <c r="B10" s="39"/>
      <c r="C10" s="39"/>
      <c r="D10" s="39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</row>
    <row r="11" spans="2:22" x14ac:dyDescent="0.25">
      <c r="B11" s="91">
        <v>0.01</v>
      </c>
      <c r="C11" s="92" t="s">
        <v>146</v>
      </c>
      <c r="D11" s="39"/>
      <c r="E11" s="93">
        <v>-30000</v>
      </c>
      <c r="F11" s="94">
        <f>IF(F$5="","",-ABS((E11*(1+$B11))))</f>
        <v>-30300</v>
      </c>
      <c r="G11" s="94">
        <f t="shared" ref="G11:T11" si="4">IF(G$5="","",-ABS((F11*(1+$B11))))</f>
        <v>-30603</v>
      </c>
      <c r="H11" s="94">
        <f t="shared" si="4"/>
        <v>-30909.03</v>
      </c>
      <c r="I11" s="94">
        <f t="shared" si="4"/>
        <v>-31218.120299999999</v>
      </c>
      <c r="J11" s="94">
        <f t="shared" si="4"/>
        <v>-31530.301502999999</v>
      </c>
      <c r="K11" s="94">
        <f t="shared" si="4"/>
        <v>-31845.604518029999</v>
      </c>
      <c r="L11" s="94">
        <f t="shared" si="4"/>
        <v>-32164.0605632103</v>
      </c>
      <c r="M11" s="94">
        <f t="shared" si="4"/>
        <v>-32485.701168842403</v>
      </c>
      <c r="N11" s="94">
        <f t="shared" si="4"/>
        <v>-32810.558180530825</v>
      </c>
      <c r="O11" s="94">
        <f t="shared" si="4"/>
        <v>-33138.663762336131</v>
      </c>
      <c r="P11" s="94" t="str">
        <f t="shared" si="4"/>
        <v/>
      </c>
      <c r="Q11" s="94" t="str">
        <f t="shared" si="4"/>
        <v/>
      </c>
      <c r="R11" s="94" t="str">
        <f t="shared" si="4"/>
        <v/>
      </c>
      <c r="S11" s="94" t="str">
        <f t="shared" si="4"/>
        <v/>
      </c>
      <c r="T11" s="94" t="str">
        <f t="shared" si="4"/>
        <v/>
      </c>
    </row>
    <row r="12" spans="2:22" x14ac:dyDescent="0.25">
      <c r="B12" s="99"/>
      <c r="C12" s="92" t="s">
        <v>147</v>
      </c>
      <c r="D12" s="100">
        <v>0.1</v>
      </c>
      <c r="E12" s="94">
        <f>IF(E5="","",-$D12*E9)</f>
        <v>-207500</v>
      </c>
      <c r="F12" s="94">
        <f t="shared" ref="F12:T12" si="5">IF(F5="","",-$D12*F9)</f>
        <v>-211550</v>
      </c>
      <c r="G12" s="94">
        <f t="shared" si="5"/>
        <v>-215680</v>
      </c>
      <c r="H12" s="94">
        <f t="shared" si="5"/>
        <v>-219891.59</v>
      </c>
      <c r="I12" s="94">
        <f t="shared" si="5"/>
        <v>-224186.39170000001</v>
      </c>
      <c r="J12" s="94">
        <f t="shared" si="5"/>
        <v>-228566.05913300003</v>
      </c>
      <c r="K12" s="94">
        <f t="shared" si="5"/>
        <v>-233032.27931065002</v>
      </c>
      <c r="L12" s="94">
        <f t="shared" si="5"/>
        <v>-237586.77288180299</v>
      </c>
      <c r="M12" s="94">
        <f t="shared" si="5"/>
        <v>-242231.2948042283</v>
      </c>
      <c r="N12" s="94">
        <f t="shared" si="5"/>
        <v>-246967.63502975009</v>
      </c>
      <c r="O12" s="94">
        <f t="shared" si="5"/>
        <v>-251797.61920307667</v>
      </c>
      <c r="P12" s="94" t="str">
        <f t="shared" si="5"/>
        <v/>
      </c>
      <c r="Q12" s="94" t="str">
        <f t="shared" si="5"/>
        <v/>
      </c>
      <c r="R12" s="94" t="str">
        <f t="shared" si="5"/>
        <v/>
      </c>
      <c r="S12" s="94" t="str">
        <f t="shared" si="5"/>
        <v/>
      </c>
      <c r="T12" s="94" t="str">
        <f t="shared" si="5"/>
        <v/>
      </c>
    </row>
    <row r="13" spans="2:22" x14ac:dyDescent="0.25">
      <c r="B13" s="39"/>
      <c r="C13" s="92" t="s">
        <v>164</v>
      </c>
      <c r="D13" s="39"/>
      <c r="E13" s="93">
        <v>-20000</v>
      </c>
      <c r="F13" s="93"/>
      <c r="G13" s="93"/>
      <c r="H13" s="93"/>
      <c r="I13" s="93">
        <v>-500000</v>
      </c>
      <c r="J13" s="93"/>
      <c r="K13" s="93"/>
      <c r="L13" s="93"/>
      <c r="M13" s="93"/>
      <c r="N13" s="93">
        <v>-200000</v>
      </c>
      <c r="O13" s="93"/>
      <c r="P13" s="93"/>
      <c r="Q13" s="93"/>
      <c r="R13" s="93"/>
      <c r="S13" s="93"/>
      <c r="T13" s="93"/>
    </row>
    <row r="14" spans="2:22" x14ac:dyDescent="0.25">
      <c r="B14" s="97">
        <f>RATE(Analysis_Period-1,,-E14,LOOKUP(Analysis_Period,$E$5:$T$5,E14:T14))</f>
        <v>1.0119922396647413E-2</v>
      </c>
      <c r="C14" s="48" t="s">
        <v>149</v>
      </c>
      <c r="D14" s="87"/>
      <c r="E14" s="101">
        <f>-ABS(E11)-ABS(E12)+E13+E9</f>
        <v>1817500</v>
      </c>
      <c r="F14" s="101">
        <f t="shared" ref="F14:T14" si="6">IF(F5="","",SUM(F9:F13))</f>
        <v>1873650</v>
      </c>
      <c r="G14" s="101">
        <f t="shared" si="6"/>
        <v>1910517</v>
      </c>
      <c r="H14" s="101">
        <f t="shared" si="6"/>
        <v>1948115.28</v>
      </c>
      <c r="I14" s="101">
        <f t="shared" si="6"/>
        <v>1486459.4049999998</v>
      </c>
      <c r="J14" s="101">
        <f t="shared" si="6"/>
        <v>2025564.2306940004</v>
      </c>
      <c r="K14" s="101">
        <f t="shared" si="6"/>
        <v>2065444.9092778203</v>
      </c>
      <c r="L14" s="101">
        <f t="shared" si="6"/>
        <v>2106116.8953730161</v>
      </c>
      <c r="M14" s="101">
        <f t="shared" si="6"/>
        <v>2147595.9520692118</v>
      </c>
      <c r="N14" s="101">
        <f t="shared" si="6"/>
        <v>1989898.1570872199</v>
      </c>
      <c r="O14" s="101">
        <f t="shared" si="6"/>
        <v>2233039.9090653537</v>
      </c>
      <c r="P14" s="101" t="str">
        <f t="shared" si="6"/>
        <v/>
      </c>
      <c r="Q14" s="101" t="str">
        <f t="shared" si="6"/>
        <v/>
      </c>
      <c r="R14" s="101" t="str">
        <f t="shared" si="6"/>
        <v/>
      </c>
      <c r="S14" s="101" t="str">
        <f t="shared" si="6"/>
        <v/>
      </c>
      <c r="T14" s="101" t="str">
        <f t="shared" si="6"/>
        <v/>
      </c>
    </row>
    <row r="15" spans="2:22" x14ac:dyDescent="0.25">
      <c r="B15" s="39"/>
      <c r="C15" s="39"/>
      <c r="D15" s="39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</row>
    <row r="16" spans="2:22" x14ac:dyDescent="0.25">
      <c r="B16" s="91">
        <v>0.02</v>
      </c>
      <c r="C16" s="92" t="s">
        <v>150</v>
      </c>
      <c r="D16" s="39"/>
      <c r="E16" s="93">
        <v>-15000</v>
      </c>
      <c r="F16" s="94">
        <f t="shared" ref="F16:T20" si="7">IF(F$5="","",-ABS((E16*(1+$B16))))</f>
        <v>-15300</v>
      </c>
      <c r="G16" s="94">
        <f t="shared" si="7"/>
        <v>-15606</v>
      </c>
      <c r="H16" s="94">
        <f t="shared" si="7"/>
        <v>-15918.12</v>
      </c>
      <c r="I16" s="94">
        <f t="shared" si="7"/>
        <v>-16236.482400000001</v>
      </c>
      <c r="J16" s="94">
        <f t="shared" si="7"/>
        <v>-16561.212048000001</v>
      </c>
      <c r="K16" s="94">
        <f t="shared" si="7"/>
        <v>-16892.436288960002</v>
      </c>
      <c r="L16" s="94">
        <f t="shared" si="7"/>
        <v>-17230.285014739202</v>
      </c>
      <c r="M16" s="94">
        <f t="shared" si="7"/>
        <v>-17574.890715033987</v>
      </c>
      <c r="N16" s="94">
        <f t="shared" si="7"/>
        <v>-17926.388529334668</v>
      </c>
      <c r="O16" s="94">
        <f t="shared" si="7"/>
        <v>-18284.916299921362</v>
      </c>
      <c r="P16" s="94" t="str">
        <f t="shared" si="7"/>
        <v/>
      </c>
      <c r="Q16" s="94" t="str">
        <f t="shared" si="7"/>
        <v/>
      </c>
      <c r="R16" s="94" t="str">
        <f t="shared" si="7"/>
        <v/>
      </c>
      <c r="S16" s="94" t="str">
        <f t="shared" si="7"/>
        <v/>
      </c>
      <c r="T16" s="94" t="str">
        <f t="shared" si="7"/>
        <v/>
      </c>
    </row>
    <row r="17" spans="2:20" x14ac:dyDescent="0.25">
      <c r="B17" s="91">
        <v>0.02</v>
      </c>
      <c r="C17" s="92" t="s">
        <v>151</v>
      </c>
      <c r="D17" s="39"/>
      <c r="E17" s="93">
        <v>-65000</v>
      </c>
      <c r="F17" s="94">
        <f t="shared" si="7"/>
        <v>-66300</v>
      </c>
      <c r="G17" s="94">
        <f t="shared" si="7"/>
        <v>-67626</v>
      </c>
      <c r="H17" s="94">
        <f t="shared" si="7"/>
        <v>-68978.52</v>
      </c>
      <c r="I17" s="94">
        <f t="shared" si="7"/>
        <v>-70358.090400000001</v>
      </c>
      <c r="J17" s="94">
        <f t="shared" si="7"/>
        <v>-71765.252208000005</v>
      </c>
      <c r="K17" s="94">
        <f t="shared" si="7"/>
        <v>-73200.557252160012</v>
      </c>
      <c r="L17" s="94">
        <f t="shared" si="7"/>
        <v>-74664.568397203213</v>
      </c>
      <c r="M17" s="94">
        <f t="shared" si="7"/>
        <v>-76157.859765147281</v>
      </c>
      <c r="N17" s="94">
        <f t="shared" si="7"/>
        <v>-77681.01696045023</v>
      </c>
      <c r="O17" s="94">
        <f t="shared" si="7"/>
        <v>-79234.63729965924</v>
      </c>
      <c r="P17" s="94" t="str">
        <f t="shared" si="7"/>
        <v/>
      </c>
      <c r="Q17" s="94" t="str">
        <f t="shared" si="7"/>
        <v/>
      </c>
      <c r="R17" s="94" t="str">
        <f t="shared" si="7"/>
        <v/>
      </c>
      <c r="S17" s="94" t="str">
        <f t="shared" si="7"/>
        <v/>
      </c>
      <c r="T17" s="94" t="str">
        <f t="shared" si="7"/>
        <v/>
      </c>
    </row>
    <row r="18" spans="2:20" x14ac:dyDescent="0.25">
      <c r="B18" s="91">
        <v>0.02</v>
      </c>
      <c r="C18" s="92" t="s">
        <v>152</v>
      </c>
      <c r="D18" s="39"/>
      <c r="E18" s="93">
        <v>-75000</v>
      </c>
      <c r="F18" s="94">
        <f t="shared" si="7"/>
        <v>-76500</v>
      </c>
      <c r="G18" s="94">
        <f t="shared" si="7"/>
        <v>-78030</v>
      </c>
      <c r="H18" s="94">
        <f t="shared" si="7"/>
        <v>-79590.600000000006</v>
      </c>
      <c r="I18" s="94">
        <f t="shared" si="7"/>
        <v>-81182.412000000011</v>
      </c>
      <c r="J18" s="94">
        <f t="shared" si="7"/>
        <v>-82806.060240000006</v>
      </c>
      <c r="K18" s="94">
        <f t="shared" si="7"/>
        <v>-84462.181444800008</v>
      </c>
      <c r="L18" s="94">
        <f t="shared" si="7"/>
        <v>-86151.425073696009</v>
      </c>
      <c r="M18" s="94">
        <f t="shared" si="7"/>
        <v>-87874.45357516993</v>
      </c>
      <c r="N18" s="94">
        <f t="shared" si="7"/>
        <v>-89631.942646673328</v>
      </c>
      <c r="O18" s="94">
        <f t="shared" si="7"/>
        <v>-91424.581499606793</v>
      </c>
      <c r="P18" s="94" t="str">
        <f t="shared" si="7"/>
        <v/>
      </c>
      <c r="Q18" s="94" t="str">
        <f t="shared" si="7"/>
        <v/>
      </c>
      <c r="R18" s="94" t="str">
        <f t="shared" si="7"/>
        <v/>
      </c>
      <c r="S18" s="94" t="str">
        <f t="shared" si="7"/>
        <v/>
      </c>
      <c r="T18" s="94" t="str">
        <f t="shared" si="7"/>
        <v/>
      </c>
    </row>
    <row r="19" spans="2:20" x14ac:dyDescent="0.25">
      <c r="B19" s="91">
        <v>0.02</v>
      </c>
      <c r="C19" s="92" t="s">
        <v>153</v>
      </c>
      <c r="D19" s="39"/>
      <c r="E19" s="93">
        <v>95000</v>
      </c>
      <c r="F19" s="94">
        <f t="shared" si="7"/>
        <v>-96900</v>
      </c>
      <c r="G19" s="94">
        <f t="shared" si="7"/>
        <v>-98838</v>
      </c>
      <c r="H19" s="94">
        <f t="shared" si="7"/>
        <v>-100814.76</v>
      </c>
      <c r="I19" s="94">
        <f t="shared" si="7"/>
        <v>-102831.0552</v>
      </c>
      <c r="J19" s="94">
        <f t="shared" si="7"/>
        <v>-104887.67630400001</v>
      </c>
      <c r="K19" s="94">
        <f t="shared" si="7"/>
        <v>-106985.42983008001</v>
      </c>
      <c r="L19" s="94">
        <f t="shared" si="7"/>
        <v>-109125.13842668162</v>
      </c>
      <c r="M19" s="94">
        <f t="shared" si="7"/>
        <v>-111307.64119521526</v>
      </c>
      <c r="N19" s="94">
        <f t="shared" si="7"/>
        <v>-113533.79401911957</v>
      </c>
      <c r="O19" s="94">
        <f t="shared" si="7"/>
        <v>-115804.46989950196</v>
      </c>
      <c r="P19" s="94" t="str">
        <f t="shared" si="7"/>
        <v/>
      </c>
      <c r="Q19" s="94" t="str">
        <f t="shared" si="7"/>
        <v/>
      </c>
      <c r="R19" s="94" t="str">
        <f t="shared" si="7"/>
        <v/>
      </c>
      <c r="S19" s="94" t="str">
        <f t="shared" si="7"/>
        <v/>
      </c>
      <c r="T19" s="94" t="str">
        <f t="shared" si="7"/>
        <v/>
      </c>
    </row>
    <row r="20" spans="2:20" x14ac:dyDescent="0.25">
      <c r="B20" s="91">
        <v>0.02</v>
      </c>
      <c r="C20" s="92" t="s">
        <v>154</v>
      </c>
      <c r="D20" s="39"/>
      <c r="E20" s="93">
        <v>-85000</v>
      </c>
      <c r="F20" s="94">
        <f t="shared" si="7"/>
        <v>-86700</v>
      </c>
      <c r="G20" s="94">
        <f t="shared" si="7"/>
        <v>-88434</v>
      </c>
      <c r="H20" s="94">
        <f t="shared" si="7"/>
        <v>-90202.680000000008</v>
      </c>
      <c r="I20" s="94">
        <f t="shared" si="7"/>
        <v>-92006.733600000007</v>
      </c>
      <c r="J20" s="94">
        <f t="shared" si="7"/>
        <v>-93846.868272000007</v>
      </c>
      <c r="K20" s="94">
        <f t="shared" si="7"/>
        <v>-95723.805637440004</v>
      </c>
      <c r="L20" s="94">
        <f t="shared" si="7"/>
        <v>-97638.281750188806</v>
      </c>
      <c r="M20" s="94">
        <f t="shared" si="7"/>
        <v>-99591.047385192578</v>
      </c>
      <c r="N20" s="94">
        <f t="shared" si="7"/>
        <v>-101582.86833289643</v>
      </c>
      <c r="O20" s="94">
        <f t="shared" si="7"/>
        <v>-103614.52569955436</v>
      </c>
      <c r="P20" s="94" t="str">
        <f t="shared" si="7"/>
        <v/>
      </c>
      <c r="Q20" s="94" t="str">
        <f t="shared" si="7"/>
        <v/>
      </c>
      <c r="R20" s="94" t="str">
        <f t="shared" si="7"/>
        <v/>
      </c>
      <c r="S20" s="94" t="str">
        <f t="shared" si="7"/>
        <v/>
      </c>
      <c r="T20" s="94" t="str">
        <f t="shared" si="7"/>
        <v/>
      </c>
    </row>
    <row r="21" spans="2:20" x14ac:dyDescent="0.25">
      <c r="B21" s="91"/>
      <c r="C21" s="92" t="s">
        <v>157</v>
      </c>
      <c r="D21" s="100">
        <v>0.03</v>
      </c>
      <c r="E21" s="102">
        <f>IF(E5="","",-$D21*E14)</f>
        <v>-54525</v>
      </c>
      <c r="F21" s="102">
        <f>IF(F5="","",-$D21*F14)</f>
        <v>-56209.5</v>
      </c>
      <c r="G21" s="102">
        <f t="shared" ref="G21:T21" si="8">IF(G5="","",-$D21*G14)</f>
        <v>-57315.509999999995</v>
      </c>
      <c r="H21" s="102">
        <f t="shared" si="8"/>
        <v>-58443.458399999996</v>
      </c>
      <c r="I21" s="102">
        <f t="shared" si="8"/>
        <v>-44593.782149999992</v>
      </c>
      <c r="J21" s="102">
        <f t="shared" si="8"/>
        <v>-60766.926920820006</v>
      </c>
      <c r="K21" s="102">
        <f t="shared" si="8"/>
        <v>-61963.347278334608</v>
      </c>
      <c r="L21" s="102">
        <f t="shared" si="8"/>
        <v>-63183.506861190479</v>
      </c>
      <c r="M21" s="102">
        <f t="shared" si="8"/>
        <v>-64427.878562076352</v>
      </c>
      <c r="N21" s="102">
        <f t="shared" si="8"/>
        <v>-59696.944712616591</v>
      </c>
      <c r="O21" s="102">
        <f t="shared" si="8"/>
        <v>-66991.197271960613</v>
      </c>
      <c r="P21" s="102" t="str">
        <f t="shared" si="8"/>
        <v/>
      </c>
      <c r="Q21" s="102" t="str">
        <f t="shared" si="8"/>
        <v/>
      </c>
      <c r="R21" s="102" t="str">
        <f t="shared" si="8"/>
        <v/>
      </c>
      <c r="S21" s="102" t="str">
        <f t="shared" si="8"/>
        <v/>
      </c>
      <c r="T21" s="102" t="str">
        <f t="shared" si="8"/>
        <v/>
      </c>
    </row>
    <row r="22" spans="2:20" x14ac:dyDescent="0.25">
      <c r="B22" s="91">
        <v>0.02</v>
      </c>
      <c r="C22" s="92" t="s">
        <v>155</v>
      </c>
      <c r="D22" s="39"/>
      <c r="E22" s="93">
        <v>-35000</v>
      </c>
      <c r="F22" s="94">
        <f t="shared" ref="F22:T23" si="9">IF(F$5="","",-ABS((E22*(1+$B22))))</f>
        <v>-35700</v>
      </c>
      <c r="G22" s="94">
        <f t="shared" si="9"/>
        <v>-36414</v>
      </c>
      <c r="H22" s="94">
        <f t="shared" si="9"/>
        <v>-37142.28</v>
      </c>
      <c r="I22" s="94">
        <f t="shared" si="9"/>
        <v>-37885.125599999999</v>
      </c>
      <c r="J22" s="94">
        <f t="shared" si="9"/>
        <v>-38642.828112000003</v>
      </c>
      <c r="K22" s="94">
        <f t="shared" si="9"/>
        <v>-39415.684674240001</v>
      </c>
      <c r="L22" s="94">
        <f t="shared" si="9"/>
        <v>-40203.998367724802</v>
      </c>
      <c r="M22" s="94">
        <f t="shared" si="9"/>
        <v>-41008.078335079299</v>
      </c>
      <c r="N22" s="94">
        <f t="shared" si="9"/>
        <v>-41828.239901780886</v>
      </c>
      <c r="O22" s="94">
        <f t="shared" si="9"/>
        <v>-42664.804699816501</v>
      </c>
      <c r="P22" s="94" t="str">
        <f t="shared" si="9"/>
        <v/>
      </c>
      <c r="Q22" s="94" t="str">
        <f t="shared" si="9"/>
        <v/>
      </c>
      <c r="R22" s="94" t="str">
        <f t="shared" si="9"/>
        <v/>
      </c>
      <c r="S22" s="94" t="str">
        <f t="shared" si="9"/>
        <v/>
      </c>
      <c r="T22" s="94" t="str">
        <f t="shared" si="9"/>
        <v/>
      </c>
    </row>
    <row r="23" spans="2:20" x14ac:dyDescent="0.25">
      <c r="B23" s="91">
        <v>0.02</v>
      </c>
      <c r="C23" s="92" t="s">
        <v>156</v>
      </c>
      <c r="D23" s="39"/>
      <c r="E23" s="93">
        <v>-250005</v>
      </c>
      <c r="F23" s="94">
        <f t="shared" si="9"/>
        <v>-255005.1</v>
      </c>
      <c r="G23" s="94">
        <f t="shared" si="9"/>
        <v>-260105.20200000002</v>
      </c>
      <c r="H23" s="94">
        <f t="shared" si="9"/>
        <v>-265307.30604</v>
      </c>
      <c r="I23" s="94">
        <f t="shared" si="9"/>
        <v>-270613.45216079999</v>
      </c>
      <c r="J23" s="94">
        <f t="shared" si="9"/>
        <v>-276025.72120401601</v>
      </c>
      <c r="K23" s="94">
        <f t="shared" si="9"/>
        <v>-281546.23562809633</v>
      </c>
      <c r="L23" s="94">
        <f t="shared" si="9"/>
        <v>-287177.16034065827</v>
      </c>
      <c r="M23" s="94">
        <f t="shared" si="9"/>
        <v>-292920.70354747144</v>
      </c>
      <c r="N23" s="94">
        <f t="shared" si="9"/>
        <v>-298779.11761842086</v>
      </c>
      <c r="O23" s="94">
        <f t="shared" si="9"/>
        <v>-304754.69997078925</v>
      </c>
      <c r="P23" s="94" t="str">
        <f t="shared" si="9"/>
        <v/>
      </c>
      <c r="Q23" s="94" t="str">
        <f t="shared" si="9"/>
        <v/>
      </c>
      <c r="R23" s="94" t="str">
        <f t="shared" si="9"/>
        <v/>
      </c>
      <c r="S23" s="94" t="str">
        <f t="shared" si="9"/>
        <v/>
      </c>
      <c r="T23" s="94" t="str">
        <f t="shared" si="9"/>
        <v/>
      </c>
    </row>
    <row r="24" spans="2:20" x14ac:dyDescent="0.25">
      <c r="B24" s="103">
        <f>RATE(Analysis_Period-1,,-E24,LOOKUP(Analysis_Period,$E$5:$T$5,E24:T24))</f>
        <v>1.9229282438726923E-2</v>
      </c>
      <c r="C24" s="45" t="s">
        <v>21</v>
      </c>
      <c r="D24" s="39"/>
      <c r="E24" s="94">
        <f>IF(E5="","",-ABS(E16)-ABS(E17)-ABS(E18)-ABS(E19)-ABS(E20)+E21-ABS(E22)-ABS(E23))</f>
        <v>-674530</v>
      </c>
      <c r="F24" s="94">
        <f t="shared" ref="F24:T24" si="10">IF(F5="","",-ABS(F16)-ABS(F17)-ABS(F18)-ABS(F19)-ABS(F20)+F21-ABS(F22)-ABS(F23))</f>
        <v>-688614.6</v>
      </c>
      <c r="G24" s="94">
        <f t="shared" si="10"/>
        <v>-702368.71200000006</v>
      </c>
      <c r="H24" s="94">
        <f t="shared" si="10"/>
        <v>-716397.72444000002</v>
      </c>
      <c r="I24" s="94">
        <f t="shared" si="10"/>
        <v>-715707.13351080008</v>
      </c>
      <c r="J24" s="94">
        <f t="shared" si="10"/>
        <v>-745302.54530883604</v>
      </c>
      <c r="K24" s="94">
        <f t="shared" si="10"/>
        <v>-760189.67803411093</v>
      </c>
      <c r="L24" s="94">
        <f t="shared" si="10"/>
        <v>-775374.36423208239</v>
      </c>
      <c r="M24" s="94">
        <f t="shared" si="10"/>
        <v>-790862.55308038625</v>
      </c>
      <c r="N24" s="94">
        <f t="shared" si="10"/>
        <v>-800660.31272129249</v>
      </c>
      <c r="O24" s="94">
        <f t="shared" si="10"/>
        <v>-822773.83264081005</v>
      </c>
      <c r="P24" s="94" t="str">
        <f t="shared" si="10"/>
        <v/>
      </c>
      <c r="Q24" s="94" t="str">
        <f t="shared" si="10"/>
        <v/>
      </c>
      <c r="R24" s="94" t="str">
        <f t="shared" si="10"/>
        <v/>
      </c>
      <c r="S24" s="94" t="str">
        <f t="shared" si="10"/>
        <v/>
      </c>
      <c r="T24" s="94" t="str">
        <f t="shared" si="10"/>
        <v/>
      </c>
    </row>
    <row r="25" spans="2:20" x14ac:dyDescent="0.25">
      <c r="B25" s="39"/>
      <c r="C25" s="39"/>
      <c r="D25" s="39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</row>
    <row r="26" spans="2:20" x14ac:dyDescent="0.25">
      <c r="B26" s="97">
        <f>RATE(Analysis_Period-1,,-E26,LOOKUP(Analysis_Period,$E$5:$T$5,E26:T26))</f>
        <v>4.4189010391786224E-3</v>
      </c>
      <c r="C26" s="104" t="s">
        <v>22</v>
      </c>
      <c r="D26" s="87"/>
      <c r="E26" s="101">
        <f>IF(E5="","",E24+E14)</f>
        <v>1142970</v>
      </c>
      <c r="F26" s="101">
        <f t="shared" ref="F26:T26" si="11">IF(F5="","",F24+F14)</f>
        <v>1185035.3999999999</v>
      </c>
      <c r="G26" s="101">
        <f t="shared" si="11"/>
        <v>1208148.2879999999</v>
      </c>
      <c r="H26" s="101">
        <f t="shared" si="11"/>
        <v>1231717.55556</v>
      </c>
      <c r="I26" s="101">
        <f t="shared" si="11"/>
        <v>770752.27148919972</v>
      </c>
      <c r="J26" s="101">
        <f t="shared" si="11"/>
        <v>1280261.6853851643</v>
      </c>
      <c r="K26" s="101">
        <f t="shared" si="11"/>
        <v>1305255.2312437093</v>
      </c>
      <c r="L26" s="101">
        <f t="shared" si="11"/>
        <v>1330742.5311409337</v>
      </c>
      <c r="M26" s="101">
        <f t="shared" si="11"/>
        <v>1356733.3989888255</v>
      </c>
      <c r="N26" s="101">
        <f t="shared" si="11"/>
        <v>1189237.8443659274</v>
      </c>
      <c r="O26" s="101">
        <f t="shared" si="11"/>
        <v>1410266.0764245437</v>
      </c>
      <c r="P26" s="101" t="str">
        <f t="shared" si="11"/>
        <v/>
      </c>
      <c r="Q26" s="101" t="str">
        <f t="shared" si="11"/>
        <v/>
      </c>
      <c r="R26" s="101" t="str">
        <f t="shared" si="11"/>
        <v/>
      </c>
      <c r="S26" s="101" t="str">
        <f t="shared" si="11"/>
        <v/>
      </c>
      <c r="T26" s="101" t="str">
        <f t="shared" si="11"/>
        <v/>
      </c>
    </row>
    <row r="27" spans="2:20" x14ac:dyDescent="0.25">
      <c r="B27" s="39"/>
      <c r="C27" s="39"/>
      <c r="D27" s="39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</row>
    <row r="28" spans="2:20" x14ac:dyDescent="0.25">
      <c r="B28" s="91">
        <v>0.02</v>
      </c>
      <c r="C28" s="92" t="s">
        <v>158</v>
      </c>
      <c r="D28" s="39"/>
      <c r="E28" s="93">
        <v>50000</v>
      </c>
      <c r="F28" s="94">
        <f t="shared" ref="F28:T28" si="12">IF(F$5="","",-ABS((E28*(1+$B28))))</f>
        <v>-51000</v>
      </c>
      <c r="G28" s="94">
        <f t="shared" si="12"/>
        <v>-52020</v>
      </c>
      <c r="H28" s="94">
        <f t="shared" si="12"/>
        <v>-53060.4</v>
      </c>
      <c r="I28" s="94">
        <f t="shared" si="12"/>
        <v>-54121.608</v>
      </c>
      <c r="J28" s="94">
        <f t="shared" si="12"/>
        <v>-55204.040160000004</v>
      </c>
      <c r="K28" s="94">
        <f t="shared" si="12"/>
        <v>-56308.120963200003</v>
      </c>
      <c r="L28" s="94">
        <f t="shared" si="12"/>
        <v>-57434.283382464004</v>
      </c>
      <c r="M28" s="94">
        <f t="shared" si="12"/>
        <v>-58582.969050113286</v>
      </c>
      <c r="N28" s="94">
        <f t="shared" si="12"/>
        <v>-59754.628431115554</v>
      </c>
      <c r="O28" s="94">
        <f t="shared" si="12"/>
        <v>-60949.720999737867</v>
      </c>
      <c r="P28" s="94" t="str">
        <f t="shared" si="12"/>
        <v/>
      </c>
      <c r="Q28" s="94" t="str">
        <f t="shared" si="12"/>
        <v/>
      </c>
      <c r="R28" s="94" t="str">
        <f t="shared" si="12"/>
        <v/>
      </c>
      <c r="S28" s="94" t="str">
        <f t="shared" si="12"/>
        <v/>
      </c>
      <c r="T28" s="94" t="str">
        <f t="shared" si="12"/>
        <v/>
      </c>
    </row>
    <row r="29" spans="2:20" x14ac:dyDescent="0.25">
      <c r="B29" s="91">
        <v>0.02</v>
      </c>
      <c r="C29" s="92" t="s">
        <v>159</v>
      </c>
      <c r="D29" s="39"/>
      <c r="E29" s="93">
        <v>50000</v>
      </c>
      <c r="F29" s="94">
        <f t="shared" ref="F29:T29" si="13">IF(F$5="","",-ABS((E29*(1+$B29))))</f>
        <v>-51000</v>
      </c>
      <c r="G29" s="94">
        <f t="shared" si="13"/>
        <v>-52020</v>
      </c>
      <c r="H29" s="94">
        <f t="shared" si="13"/>
        <v>-53060.4</v>
      </c>
      <c r="I29" s="94">
        <f t="shared" si="13"/>
        <v>-54121.608</v>
      </c>
      <c r="J29" s="94">
        <f t="shared" si="13"/>
        <v>-55204.040160000004</v>
      </c>
      <c r="K29" s="94">
        <f t="shared" si="13"/>
        <v>-56308.120963200003</v>
      </c>
      <c r="L29" s="94">
        <f t="shared" si="13"/>
        <v>-57434.283382464004</v>
      </c>
      <c r="M29" s="94">
        <f t="shared" si="13"/>
        <v>-58582.969050113286</v>
      </c>
      <c r="N29" s="94">
        <f t="shared" si="13"/>
        <v>-59754.628431115554</v>
      </c>
      <c r="O29" s="94">
        <f t="shared" si="13"/>
        <v>-60949.720999737867</v>
      </c>
      <c r="P29" s="94" t="str">
        <f t="shared" si="13"/>
        <v/>
      </c>
      <c r="Q29" s="94" t="str">
        <f t="shared" si="13"/>
        <v/>
      </c>
      <c r="R29" s="94" t="str">
        <f t="shared" si="13"/>
        <v/>
      </c>
      <c r="S29" s="94" t="str">
        <f t="shared" si="13"/>
        <v/>
      </c>
      <c r="T29" s="94" t="str">
        <f t="shared" si="13"/>
        <v/>
      </c>
    </row>
    <row r="30" spans="2:20" x14ac:dyDescent="0.25">
      <c r="B30" s="91">
        <v>0.02</v>
      </c>
      <c r="C30" s="92" t="s">
        <v>160</v>
      </c>
      <c r="D30" s="39"/>
      <c r="E30" s="93">
        <v>50000</v>
      </c>
      <c r="F30" s="94">
        <f t="shared" ref="F30:T30" si="14">IF(F$5="","",-ABS((E30*(1+$B30))))</f>
        <v>-51000</v>
      </c>
      <c r="G30" s="94">
        <f t="shared" si="14"/>
        <v>-52020</v>
      </c>
      <c r="H30" s="94">
        <f t="shared" si="14"/>
        <v>-53060.4</v>
      </c>
      <c r="I30" s="94">
        <f t="shared" si="14"/>
        <v>-54121.608</v>
      </c>
      <c r="J30" s="94">
        <f t="shared" si="14"/>
        <v>-55204.040160000004</v>
      </c>
      <c r="K30" s="94">
        <f t="shared" si="14"/>
        <v>-56308.120963200003</v>
      </c>
      <c r="L30" s="94">
        <f t="shared" si="14"/>
        <v>-57434.283382464004</v>
      </c>
      <c r="M30" s="94">
        <f t="shared" si="14"/>
        <v>-58582.969050113286</v>
      </c>
      <c r="N30" s="94">
        <f t="shared" si="14"/>
        <v>-59754.628431115554</v>
      </c>
      <c r="O30" s="94">
        <f t="shared" si="14"/>
        <v>-60949.720999737867</v>
      </c>
      <c r="P30" s="94" t="str">
        <f t="shared" si="14"/>
        <v/>
      </c>
      <c r="Q30" s="94" t="str">
        <f t="shared" si="14"/>
        <v/>
      </c>
      <c r="R30" s="94" t="str">
        <f t="shared" si="14"/>
        <v/>
      </c>
      <c r="S30" s="94" t="str">
        <f t="shared" si="14"/>
        <v/>
      </c>
      <c r="T30" s="94" t="str">
        <f t="shared" si="14"/>
        <v/>
      </c>
    </row>
    <row r="31" spans="2:20" x14ac:dyDescent="0.25">
      <c r="B31" s="91">
        <v>0.02</v>
      </c>
      <c r="C31" s="92" t="s">
        <v>161</v>
      </c>
      <c r="D31" s="39"/>
      <c r="E31" s="93">
        <v>50000</v>
      </c>
      <c r="F31" s="94">
        <f t="shared" ref="F31:T31" si="15">IF(F$5="","",-ABS((E31*(1+$B31))))</f>
        <v>-51000</v>
      </c>
      <c r="G31" s="94">
        <f t="shared" si="15"/>
        <v>-52020</v>
      </c>
      <c r="H31" s="94">
        <f t="shared" si="15"/>
        <v>-53060.4</v>
      </c>
      <c r="I31" s="94">
        <f t="shared" si="15"/>
        <v>-54121.608</v>
      </c>
      <c r="J31" s="94">
        <f t="shared" si="15"/>
        <v>-55204.040160000004</v>
      </c>
      <c r="K31" s="94">
        <f t="shared" si="15"/>
        <v>-56308.120963200003</v>
      </c>
      <c r="L31" s="94">
        <f t="shared" si="15"/>
        <v>-57434.283382464004</v>
      </c>
      <c r="M31" s="94">
        <f t="shared" si="15"/>
        <v>-58582.969050113286</v>
      </c>
      <c r="N31" s="94">
        <f t="shared" si="15"/>
        <v>-59754.628431115554</v>
      </c>
      <c r="O31" s="94">
        <f t="shared" si="15"/>
        <v>-60949.720999737867</v>
      </c>
      <c r="P31" s="94" t="str">
        <f t="shared" si="15"/>
        <v/>
      </c>
      <c r="Q31" s="94" t="str">
        <f t="shared" si="15"/>
        <v/>
      </c>
      <c r="R31" s="94" t="str">
        <f t="shared" si="15"/>
        <v/>
      </c>
      <c r="S31" s="94" t="str">
        <f t="shared" si="15"/>
        <v/>
      </c>
      <c r="T31" s="94" t="str">
        <f t="shared" si="15"/>
        <v/>
      </c>
    </row>
    <row r="32" spans="2:20" x14ac:dyDescent="0.25">
      <c r="B32" s="103">
        <f>RATE(Analysis_Period-1,,-E32,LOOKUP(Analysis_Period,$E$5:$T$5,E32:T32))</f>
        <v>2.0000000000000014E-2</v>
      </c>
      <c r="C32" s="39" t="s">
        <v>162</v>
      </c>
      <c r="D32" s="39"/>
      <c r="E32" s="94">
        <f>IF(E5="","",-ABS(E28)-ABS(E29)-ABS(E30)-ABS(E31))</f>
        <v>-200000</v>
      </c>
      <c r="F32" s="94">
        <f t="shared" ref="F32:T32" si="16">IF(F5="","",SUM(F28:F31))</f>
        <v>-204000</v>
      </c>
      <c r="G32" s="94">
        <f t="shared" si="16"/>
        <v>-208080</v>
      </c>
      <c r="H32" s="94">
        <f t="shared" si="16"/>
        <v>-212241.6</v>
      </c>
      <c r="I32" s="94">
        <f t="shared" si="16"/>
        <v>-216486.432</v>
      </c>
      <c r="J32" s="94">
        <f t="shared" si="16"/>
        <v>-220816.16064000002</v>
      </c>
      <c r="K32" s="94">
        <f t="shared" si="16"/>
        <v>-225232.48385280001</v>
      </c>
      <c r="L32" s="94">
        <f t="shared" si="16"/>
        <v>-229737.13352985602</v>
      </c>
      <c r="M32" s="94">
        <f t="shared" si="16"/>
        <v>-234331.87620045315</v>
      </c>
      <c r="N32" s="94">
        <f t="shared" si="16"/>
        <v>-239018.51372446222</v>
      </c>
      <c r="O32" s="94">
        <f t="shared" si="16"/>
        <v>-243798.88399895147</v>
      </c>
      <c r="P32" s="94" t="str">
        <f t="shared" si="16"/>
        <v/>
      </c>
      <c r="Q32" s="94" t="str">
        <f t="shared" si="16"/>
        <v/>
      </c>
      <c r="R32" s="94" t="str">
        <f t="shared" si="16"/>
        <v/>
      </c>
      <c r="S32" s="94" t="str">
        <f t="shared" si="16"/>
        <v/>
      </c>
      <c r="T32" s="94" t="str">
        <f t="shared" si="16"/>
        <v/>
      </c>
    </row>
    <row r="33" spans="2:20" x14ac:dyDescent="0.25">
      <c r="B33" s="184"/>
      <c r="C33" s="39"/>
      <c r="D33" s="39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</row>
    <row r="34" spans="2:20" x14ac:dyDescent="0.25">
      <c r="B34" s="97">
        <f>RATE(Analysis_Period-1,,-E34,LOOKUP(Analysis_Period,$E$5:$T$5,E34:T34))</f>
        <v>8.5129142535054993E-4</v>
      </c>
      <c r="C34" s="48" t="s">
        <v>163</v>
      </c>
      <c r="D34" s="87"/>
      <c r="E34" s="101">
        <f>IF(E5="","",E32+E26)</f>
        <v>942970</v>
      </c>
      <c r="F34" s="101">
        <f t="shared" ref="F34:T34" si="17">IF(F5="","",F32+F26)</f>
        <v>981035.39999999991</v>
      </c>
      <c r="G34" s="101">
        <f t="shared" si="17"/>
        <v>1000068.2879999999</v>
      </c>
      <c r="H34" s="101">
        <f t="shared" si="17"/>
        <v>1019475.95556</v>
      </c>
      <c r="I34" s="101">
        <f t="shared" si="17"/>
        <v>554265.83948919969</v>
      </c>
      <c r="J34" s="101">
        <f t="shared" si="17"/>
        <v>1059445.5247451644</v>
      </c>
      <c r="K34" s="101">
        <f t="shared" si="17"/>
        <v>1080022.7473909094</v>
      </c>
      <c r="L34" s="101">
        <f t="shared" si="17"/>
        <v>1101005.3976110776</v>
      </c>
      <c r="M34" s="101">
        <f t="shared" si="17"/>
        <v>1122401.5227883724</v>
      </c>
      <c r="N34" s="101">
        <f t="shared" si="17"/>
        <v>950219.33064146515</v>
      </c>
      <c r="O34" s="101">
        <f t="shared" si="17"/>
        <v>1166467.1924255923</v>
      </c>
      <c r="P34" s="101" t="str">
        <f t="shared" si="17"/>
        <v/>
      </c>
      <c r="Q34" s="101" t="str">
        <f t="shared" si="17"/>
        <v/>
      </c>
      <c r="R34" s="101" t="str">
        <f t="shared" si="17"/>
        <v/>
      </c>
      <c r="S34" s="101" t="str">
        <f t="shared" si="17"/>
        <v/>
      </c>
      <c r="T34" s="101" t="str">
        <f t="shared" si="17"/>
        <v/>
      </c>
    </row>
    <row r="35" spans="2:20" x14ac:dyDescent="0.25">
      <c r="B35" s="39"/>
      <c r="C35" s="39"/>
      <c r="D35" s="39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</row>
  </sheetData>
  <conditionalFormatting sqref="E5:T5">
    <cfRule type="expression" dxfId="15" priority="1">
      <formula>E$5&lt;&gt;""</formula>
    </cfRule>
  </conditionalFormatting>
  <pageMargins left="0.7" right="0.7" top="0.75" bottom="0.75" header="0.3" footer="0.3"/>
  <pageSetup orientation="portrait" horizontalDpi="4294967294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B2:U84"/>
  <sheetViews>
    <sheetView showGridLines="0" zoomScale="85" zoomScaleNormal="85" workbookViewId="0"/>
  </sheetViews>
  <sheetFormatPr defaultRowHeight="15" outlineLevelRow="1" x14ac:dyDescent="0.25"/>
  <cols>
    <col min="1" max="1" width="2.85546875" style="53" customWidth="1"/>
    <col min="2" max="2" width="16.85546875" style="53" customWidth="1"/>
    <col min="3" max="3" width="16.28515625" style="53" customWidth="1"/>
    <col min="4" max="4" width="16.140625" style="55" bestFit="1" customWidth="1"/>
    <col min="5" max="10" width="14.85546875" style="55" bestFit="1" customWidth="1"/>
    <col min="11" max="11" width="14.42578125" style="55" bestFit="1" customWidth="1"/>
    <col min="12" max="13" width="15.28515625" style="55" bestFit="1" customWidth="1"/>
    <col min="14" max="14" width="13" style="55" bestFit="1" customWidth="1"/>
    <col min="15" max="16" width="12.28515625" style="53" bestFit="1" customWidth="1"/>
    <col min="17" max="17" width="9.85546875" style="53" bestFit="1" customWidth="1"/>
    <col min="18" max="18" width="8.42578125" style="53" bestFit="1" customWidth="1"/>
    <col min="19" max="16384" width="9.140625" style="53"/>
  </cols>
  <sheetData>
    <row r="2" spans="2:20" ht="15.75" x14ac:dyDescent="0.25">
      <c r="B2" s="38" t="s">
        <v>52</v>
      </c>
      <c r="C2" s="39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0"/>
      <c r="P2" s="40"/>
      <c r="Q2" s="40"/>
      <c r="R2" s="40"/>
    </row>
    <row r="3" spans="2:20" s="55" customFormat="1" x14ac:dyDescent="0.25">
      <c r="B3" s="41"/>
      <c r="C3" s="41"/>
      <c r="D3" s="42">
        <v>1</v>
      </c>
      <c r="E3" s="42">
        <f>IF(OR(D3="",D3=Analysis_Period),"",D3+1)</f>
        <v>2</v>
      </c>
      <c r="F3" s="42">
        <f t="shared" ref="F3:R3" si="0">IF(OR(E3="",E3=Cap_Year),"",E3+1)</f>
        <v>3</v>
      </c>
      <c r="G3" s="42">
        <f t="shared" si="0"/>
        <v>4</v>
      </c>
      <c r="H3" s="42">
        <f t="shared" si="0"/>
        <v>5</v>
      </c>
      <c r="I3" s="42">
        <f t="shared" si="0"/>
        <v>6</v>
      </c>
      <c r="J3" s="42">
        <f t="shared" si="0"/>
        <v>7</v>
      </c>
      <c r="K3" s="42">
        <f t="shared" si="0"/>
        <v>8</v>
      </c>
      <c r="L3" s="42">
        <f t="shared" si="0"/>
        <v>9</v>
      </c>
      <c r="M3" s="42">
        <f t="shared" si="0"/>
        <v>10</v>
      </c>
      <c r="N3" s="42">
        <f t="shared" si="0"/>
        <v>11</v>
      </c>
      <c r="O3" s="43" t="str">
        <f t="shared" si="0"/>
        <v/>
      </c>
      <c r="P3" s="43" t="str">
        <f t="shared" si="0"/>
        <v/>
      </c>
      <c r="Q3" s="43" t="str">
        <f t="shared" si="0"/>
        <v/>
      </c>
      <c r="R3" s="43" t="str">
        <f t="shared" si="0"/>
        <v/>
      </c>
      <c r="S3" s="54" t="str">
        <f>IF(OR(R3="",R3=Analysis_Period),"",R3+1)</f>
        <v/>
      </c>
      <c r="T3" s="54" t="str">
        <f>IF(OR(S3="",S3=Analysis_Period),"",S3+1)</f>
        <v/>
      </c>
    </row>
    <row r="4" spans="2:20" s="55" customFormat="1" x14ac:dyDescent="0.25">
      <c r="B4" s="56" t="s">
        <v>20</v>
      </c>
      <c r="C4" s="45" t="s">
        <v>18</v>
      </c>
      <c r="D4" s="46">
        <f>EOMONTH(Analysis_Start,11)</f>
        <v>42735</v>
      </c>
      <c r="E4" s="46">
        <f t="shared" ref="E4:R4" si="1">IF(E3="","",EOMONTH(Analysis_Start,(11*E3)+D3))</f>
        <v>43100</v>
      </c>
      <c r="F4" s="46">
        <f t="shared" si="1"/>
        <v>43465</v>
      </c>
      <c r="G4" s="46">
        <f t="shared" si="1"/>
        <v>43830</v>
      </c>
      <c r="H4" s="46">
        <f t="shared" si="1"/>
        <v>44196</v>
      </c>
      <c r="I4" s="46">
        <f t="shared" si="1"/>
        <v>44561</v>
      </c>
      <c r="J4" s="46">
        <f t="shared" si="1"/>
        <v>44926</v>
      </c>
      <c r="K4" s="46">
        <f t="shared" si="1"/>
        <v>45291</v>
      </c>
      <c r="L4" s="46">
        <f t="shared" si="1"/>
        <v>45657</v>
      </c>
      <c r="M4" s="46">
        <f t="shared" si="1"/>
        <v>46022</v>
      </c>
      <c r="N4" s="46">
        <f t="shared" si="1"/>
        <v>46387</v>
      </c>
      <c r="O4" s="46" t="str">
        <f t="shared" si="1"/>
        <v/>
      </c>
      <c r="P4" s="46" t="str">
        <f t="shared" si="1"/>
        <v/>
      </c>
      <c r="Q4" s="46" t="str">
        <f t="shared" si="1"/>
        <v/>
      </c>
      <c r="R4" s="57" t="str">
        <f t="shared" si="1"/>
        <v/>
      </c>
    </row>
    <row r="5" spans="2:20" collapsed="1" x14ac:dyDescent="0.25">
      <c r="B5" s="58" t="str">
        <f>'OS DCF'!C14</f>
        <v>Effective Gross Revenue</v>
      </c>
      <c r="C5" s="48"/>
      <c r="D5" s="59">
        <f>'OS DCF'!E14</f>
        <v>1817500</v>
      </c>
      <c r="E5" s="59">
        <f>'OS DCF'!F14</f>
        <v>1873650</v>
      </c>
      <c r="F5" s="59">
        <f>'OS DCF'!G14</f>
        <v>1910517</v>
      </c>
      <c r="G5" s="59">
        <f>'OS DCF'!H14</f>
        <v>1948115.28</v>
      </c>
      <c r="H5" s="59">
        <f>'OS DCF'!I14</f>
        <v>1486459.4049999998</v>
      </c>
      <c r="I5" s="59">
        <f>'OS DCF'!J14</f>
        <v>2025564.2306940004</v>
      </c>
      <c r="J5" s="59">
        <f>'OS DCF'!K14</f>
        <v>2065444.9092778203</v>
      </c>
      <c r="K5" s="59">
        <f>'OS DCF'!L14</f>
        <v>2106116.8953730161</v>
      </c>
      <c r="L5" s="59">
        <f>'OS DCF'!M14</f>
        <v>2147595.9520692118</v>
      </c>
      <c r="M5" s="59">
        <f>'OS DCF'!N14</f>
        <v>1989898.1570872199</v>
      </c>
      <c r="N5" s="59">
        <f>'OS DCF'!O14</f>
        <v>2233039.9090653537</v>
      </c>
      <c r="O5" s="59" t="str">
        <f>'OS DCF'!P14</f>
        <v/>
      </c>
      <c r="P5" s="59" t="str">
        <f>'OS DCF'!Q14</f>
        <v/>
      </c>
      <c r="Q5" s="59" t="str">
        <f>'OS DCF'!R14</f>
        <v/>
      </c>
      <c r="R5" s="59" t="str">
        <f>'OS DCF'!S14</f>
        <v/>
      </c>
    </row>
    <row r="6" spans="2:20" x14ac:dyDescent="0.25">
      <c r="B6" s="50" t="str">
        <f>'OS DCF'!C24</f>
        <v>Operating Expenses</v>
      </c>
      <c r="C6" s="50"/>
      <c r="D6" s="60">
        <f>'OS DCF'!E24</f>
        <v>-674530</v>
      </c>
      <c r="E6" s="60">
        <f>'OS DCF'!F24</f>
        <v>-688614.6</v>
      </c>
      <c r="F6" s="60">
        <f>'OS DCF'!G24</f>
        <v>-702368.71200000006</v>
      </c>
      <c r="G6" s="60">
        <f>'OS DCF'!H24</f>
        <v>-716397.72444000002</v>
      </c>
      <c r="H6" s="60">
        <f>'OS DCF'!I24</f>
        <v>-715707.13351080008</v>
      </c>
      <c r="I6" s="60">
        <f>'OS DCF'!J24</f>
        <v>-745302.54530883604</v>
      </c>
      <c r="J6" s="60">
        <f>'OS DCF'!K24</f>
        <v>-760189.67803411093</v>
      </c>
      <c r="K6" s="60">
        <f>'OS DCF'!L24</f>
        <v>-775374.36423208239</v>
      </c>
      <c r="L6" s="60">
        <f>'OS DCF'!M24</f>
        <v>-790862.55308038625</v>
      </c>
      <c r="M6" s="60">
        <f>'OS DCF'!N24</f>
        <v>-800660.31272129249</v>
      </c>
      <c r="N6" s="60">
        <f>'OS DCF'!O24</f>
        <v>-822773.83264081005</v>
      </c>
      <c r="O6" s="60" t="str">
        <f>'OS DCF'!P24</f>
        <v/>
      </c>
      <c r="P6" s="60" t="str">
        <f>'OS DCF'!Q24</f>
        <v/>
      </c>
      <c r="Q6" s="60" t="str">
        <f>'OS DCF'!R24</f>
        <v/>
      </c>
      <c r="R6" s="60" t="str">
        <f>'OS DCF'!S24</f>
        <v/>
      </c>
    </row>
    <row r="7" spans="2:20" x14ac:dyDescent="0.25">
      <c r="B7" s="58" t="str">
        <f>'OS DCF'!C26</f>
        <v>Net Operating Income</v>
      </c>
      <c r="C7" s="50"/>
      <c r="D7" s="59">
        <f>'OS DCF'!E26</f>
        <v>1142970</v>
      </c>
      <c r="E7" s="59">
        <f>'OS DCF'!F26</f>
        <v>1185035.3999999999</v>
      </c>
      <c r="F7" s="59">
        <f>'OS DCF'!G26</f>
        <v>1208148.2879999999</v>
      </c>
      <c r="G7" s="59">
        <f>'OS DCF'!H26</f>
        <v>1231717.55556</v>
      </c>
      <c r="H7" s="59">
        <f>'OS DCF'!I26</f>
        <v>770752.27148919972</v>
      </c>
      <c r="I7" s="59">
        <f>'OS DCF'!J26</f>
        <v>1280261.6853851643</v>
      </c>
      <c r="J7" s="59">
        <f>'OS DCF'!K26</f>
        <v>1305255.2312437093</v>
      </c>
      <c r="K7" s="59">
        <f>'OS DCF'!L26</f>
        <v>1330742.5311409337</v>
      </c>
      <c r="L7" s="59">
        <f>'OS DCF'!M26</f>
        <v>1356733.3989888255</v>
      </c>
      <c r="M7" s="59">
        <f>'OS DCF'!N26</f>
        <v>1189237.8443659274</v>
      </c>
      <c r="N7" s="59">
        <f>'OS DCF'!O26</f>
        <v>1410266.0764245437</v>
      </c>
      <c r="O7" s="59" t="str">
        <f>'OS DCF'!P26</f>
        <v/>
      </c>
      <c r="P7" s="59" t="str">
        <f>'OS DCF'!Q26</f>
        <v/>
      </c>
      <c r="Q7" s="59" t="str">
        <f>'OS DCF'!R26</f>
        <v/>
      </c>
      <c r="R7" s="59" t="str">
        <f>'OS DCF'!S26</f>
        <v/>
      </c>
    </row>
    <row r="8" spans="2:20" x14ac:dyDescent="0.25">
      <c r="B8" s="50" t="str">
        <f>'OS DCF'!C32</f>
        <v>Capital Expenditures</v>
      </c>
      <c r="C8" s="50"/>
      <c r="D8" s="60">
        <f>'OS DCF'!E32</f>
        <v>-200000</v>
      </c>
      <c r="E8" s="60">
        <f>'OS DCF'!F32</f>
        <v>-204000</v>
      </c>
      <c r="F8" s="60">
        <f>'OS DCF'!G32</f>
        <v>-208080</v>
      </c>
      <c r="G8" s="60">
        <f>'OS DCF'!H32</f>
        <v>-212241.6</v>
      </c>
      <c r="H8" s="60">
        <f>'OS DCF'!I32</f>
        <v>-216486.432</v>
      </c>
      <c r="I8" s="60">
        <f>'OS DCF'!J32</f>
        <v>-220816.16064000002</v>
      </c>
      <c r="J8" s="60">
        <f>'OS DCF'!K32</f>
        <v>-225232.48385280001</v>
      </c>
      <c r="K8" s="60">
        <f>'OS DCF'!L32</f>
        <v>-229737.13352985602</v>
      </c>
      <c r="L8" s="60">
        <f>'OS DCF'!M32</f>
        <v>-234331.87620045315</v>
      </c>
      <c r="M8" s="60">
        <f>'OS DCF'!N32</f>
        <v>-239018.51372446222</v>
      </c>
      <c r="N8" s="60">
        <f>'OS DCF'!O32</f>
        <v>-243798.88399895147</v>
      </c>
      <c r="O8" s="60" t="str">
        <f>'OS DCF'!P32</f>
        <v/>
      </c>
      <c r="P8" s="60" t="str">
        <f>'OS DCF'!Q32</f>
        <v/>
      </c>
      <c r="Q8" s="60" t="str">
        <f>'OS DCF'!R32</f>
        <v/>
      </c>
      <c r="R8" s="60" t="str">
        <f>'OS DCF'!S32</f>
        <v/>
      </c>
    </row>
    <row r="9" spans="2:20" x14ac:dyDescent="0.25">
      <c r="B9" s="58" t="str">
        <f>'OS DCF'!C34</f>
        <v>Cash Flow From Operations</v>
      </c>
      <c r="C9" s="61"/>
      <c r="D9" s="59">
        <f>'OS DCF'!E34</f>
        <v>942970</v>
      </c>
      <c r="E9" s="59">
        <f>'OS DCF'!F34</f>
        <v>981035.39999999991</v>
      </c>
      <c r="F9" s="59">
        <f>'OS DCF'!G34</f>
        <v>1000068.2879999999</v>
      </c>
      <c r="G9" s="59">
        <f>'OS DCF'!H34</f>
        <v>1019475.95556</v>
      </c>
      <c r="H9" s="59">
        <f>'OS DCF'!I34</f>
        <v>554265.83948919969</v>
      </c>
      <c r="I9" s="59">
        <f>'OS DCF'!J34</f>
        <v>1059445.5247451644</v>
      </c>
      <c r="J9" s="59">
        <f>'OS DCF'!K34</f>
        <v>1080022.7473909094</v>
      </c>
      <c r="K9" s="59">
        <f>'OS DCF'!L34</f>
        <v>1101005.3976110776</v>
      </c>
      <c r="L9" s="59">
        <f>'OS DCF'!M34</f>
        <v>1122401.5227883724</v>
      </c>
      <c r="M9" s="59">
        <f>'OS DCF'!N34</f>
        <v>950219.33064146515</v>
      </c>
      <c r="N9" s="59">
        <f>'OS DCF'!O34</f>
        <v>1166467.1924255923</v>
      </c>
      <c r="O9" s="59" t="str">
        <f>'OS DCF'!P34</f>
        <v/>
      </c>
      <c r="P9" s="59" t="str">
        <f>'OS DCF'!Q34</f>
        <v/>
      </c>
      <c r="Q9" s="59" t="str">
        <f>'OS DCF'!R34</f>
        <v/>
      </c>
      <c r="R9" s="59" t="str">
        <f>'OS DCF'!S34</f>
        <v/>
      </c>
    </row>
    <row r="10" spans="2:20" x14ac:dyDescent="0.25">
      <c r="B10" s="39"/>
      <c r="C10" s="51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63"/>
      <c r="Q10" s="63"/>
      <c r="R10" s="64"/>
    </row>
    <row r="11" spans="2:20" x14ac:dyDescent="0.25">
      <c r="B11" s="39" t="s">
        <v>23</v>
      </c>
      <c r="C11" s="51"/>
      <c r="D11" s="65">
        <f>Exit_Cap_Yr_1</f>
        <v>7.4999999999999997E-2</v>
      </c>
      <c r="E11" s="65">
        <f>IF(E5="","",IF(E3&gt;Analysis_Period,"",D11+'Property Summary'!$D$10/10000))</f>
        <v>7.5499999999999998E-2</v>
      </c>
      <c r="F11" s="65">
        <f>IF(F5="","",IF(F3&gt;Analysis_Period,"",E11+'Property Summary'!$D$10/10000))</f>
        <v>7.5999999999999998E-2</v>
      </c>
      <c r="G11" s="65">
        <f>IF(G5="","",IF(G3&gt;Analysis_Period,"",F11+'Property Summary'!$D$10/10000))</f>
        <v>7.6499999999999999E-2</v>
      </c>
      <c r="H11" s="65">
        <f>IF(H5="","",IF(H3&gt;Analysis_Period,"",G11+'Property Summary'!$D$10/10000))</f>
        <v>7.6999999999999999E-2</v>
      </c>
      <c r="I11" s="65">
        <f>IF(I5="","",IF(I3&gt;Analysis_Period,"",H11+'Property Summary'!$D$10/10000))</f>
        <v>7.7499999999999999E-2</v>
      </c>
      <c r="J11" s="65">
        <f>IF(J5="","",IF(J3&gt;Analysis_Period,"",I11+'Property Summary'!$D$10/10000))</f>
        <v>7.8E-2</v>
      </c>
      <c r="K11" s="65">
        <f>IF(K5="","",IF(K3&gt;Analysis_Period,"",J11+'Property Summary'!$D$10/10000))</f>
        <v>7.85E-2</v>
      </c>
      <c r="L11" s="65">
        <f>IF(L5="","",IF(L3&gt;Analysis_Period,"",K11+'Property Summary'!$D$10/10000))</f>
        <v>7.9000000000000001E-2</v>
      </c>
      <c r="M11" s="65">
        <f>IF(M5="","",IF(M3&gt;Analysis_Period,"",L11+'Property Summary'!$D$10/10000))</f>
        <v>7.9500000000000001E-2</v>
      </c>
      <c r="N11" s="65" t="str">
        <f>IF(N5="","",IF(N3&gt;Analysis_Period,"",M11+'Property Summary'!$D$10/10000))</f>
        <v/>
      </c>
      <c r="O11" s="65" t="str">
        <f>IF(O5="","",IF(O3&gt;Analysis_Period,"",N11+'Property Summary'!$D$10/10000))</f>
        <v/>
      </c>
      <c r="P11" s="65" t="str">
        <f>IF(P5="","",IF(P3&gt;Analysis_Period,"",O11+'Property Summary'!$D$10/10000))</f>
        <v/>
      </c>
      <c r="Q11" s="65" t="str">
        <f>IF(Q5="","",IF(Q3&gt;Analysis_Period,"",P11+'Property Summary'!$D$10/10000))</f>
        <v/>
      </c>
      <c r="R11" s="65" t="str">
        <f>IF(R5="","",IF(R3&gt;Analysis_Period,"",Q11+'Property Summary'!$D$10/10000))</f>
        <v/>
      </c>
    </row>
    <row r="12" spans="2:20" x14ac:dyDescent="0.25">
      <c r="B12" s="39" t="s">
        <v>24</v>
      </c>
      <c r="C12" s="51"/>
      <c r="D12" s="67">
        <f t="shared" ref="D12:R12" si="2">IFERROR(HLOOKUP(Cap_Year-Analysis_Period+D3,$D$3:$R$9,5,FALSE)/D11,"")</f>
        <v>15800472</v>
      </c>
      <c r="E12" s="67">
        <f t="shared" si="2"/>
        <v>16001964.079470199</v>
      </c>
      <c r="F12" s="67">
        <f t="shared" si="2"/>
        <v>16206809.941578947</v>
      </c>
      <c r="G12" s="67">
        <f t="shared" si="2"/>
        <v>10075193.091362089</v>
      </c>
      <c r="H12" s="67">
        <f t="shared" si="2"/>
        <v>16626775.134872265</v>
      </c>
      <c r="I12" s="67">
        <f t="shared" si="2"/>
        <v>16842002.983789798</v>
      </c>
      <c r="J12" s="67">
        <f t="shared" si="2"/>
        <v>17060801.681294024</v>
      </c>
      <c r="K12" s="67">
        <f t="shared" si="2"/>
        <v>17283228.012596503</v>
      </c>
      <c r="L12" s="67">
        <f t="shared" si="2"/>
        <v>15053643.5995687</v>
      </c>
      <c r="M12" s="67">
        <f t="shared" si="2"/>
        <v>17739195.929868475</v>
      </c>
      <c r="N12" s="67" t="str">
        <f t="shared" si="2"/>
        <v/>
      </c>
      <c r="O12" s="67" t="str">
        <f t="shared" si="2"/>
        <v/>
      </c>
      <c r="P12" s="67" t="str">
        <f t="shared" si="2"/>
        <v/>
      </c>
      <c r="Q12" s="67" t="str">
        <f t="shared" si="2"/>
        <v/>
      </c>
      <c r="R12" s="68" t="str">
        <f t="shared" si="2"/>
        <v/>
      </c>
    </row>
    <row r="13" spans="2:20" x14ac:dyDescent="0.25">
      <c r="B13" s="39" t="s">
        <v>25</v>
      </c>
      <c r="C13" s="61"/>
      <c r="D13" s="69">
        <f t="shared" ref="D13:R13" si="3">IFERROR(D12/Property_SF,"")</f>
        <v>316.00943999999998</v>
      </c>
      <c r="E13" s="69">
        <f t="shared" si="3"/>
        <v>320.03928158940397</v>
      </c>
      <c r="F13" s="69">
        <f t="shared" si="3"/>
        <v>324.13619883157895</v>
      </c>
      <c r="G13" s="69">
        <f t="shared" si="3"/>
        <v>201.50386182724179</v>
      </c>
      <c r="H13" s="69">
        <f t="shared" si="3"/>
        <v>332.53550269744528</v>
      </c>
      <c r="I13" s="69">
        <f t="shared" si="3"/>
        <v>336.84005967579594</v>
      </c>
      <c r="J13" s="69">
        <f t="shared" si="3"/>
        <v>341.21603362588047</v>
      </c>
      <c r="K13" s="69">
        <f t="shared" si="3"/>
        <v>345.66456025193008</v>
      </c>
      <c r="L13" s="69">
        <f t="shared" si="3"/>
        <v>301.07287199137403</v>
      </c>
      <c r="M13" s="69">
        <f t="shared" si="3"/>
        <v>354.78391859736951</v>
      </c>
      <c r="N13" s="69" t="str">
        <f t="shared" si="3"/>
        <v/>
      </c>
      <c r="O13" s="69" t="str">
        <f t="shared" si="3"/>
        <v/>
      </c>
      <c r="P13" s="69" t="str">
        <f t="shared" si="3"/>
        <v/>
      </c>
      <c r="Q13" s="69" t="str">
        <f t="shared" si="3"/>
        <v/>
      </c>
      <c r="R13" s="70" t="str">
        <f t="shared" si="3"/>
        <v/>
      </c>
    </row>
    <row r="14" spans="2:20" x14ac:dyDescent="0.25">
      <c r="B14" s="39"/>
      <c r="C14" s="51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3"/>
      <c r="P14" s="63"/>
      <c r="Q14" s="63"/>
      <c r="R14" s="64"/>
    </row>
    <row r="15" spans="2:20" x14ac:dyDescent="0.25">
      <c r="B15" s="39" t="s">
        <v>29</v>
      </c>
      <c r="C15" s="51"/>
      <c r="D15" s="67">
        <f>D9</f>
        <v>942970</v>
      </c>
      <c r="E15" s="67">
        <f t="shared" ref="E15:R15" si="4">IF(E3&gt;Analysis_Period,"",E9)</f>
        <v>981035.39999999991</v>
      </c>
      <c r="F15" s="67">
        <f t="shared" si="4"/>
        <v>1000068.2879999999</v>
      </c>
      <c r="G15" s="67">
        <f t="shared" si="4"/>
        <v>1019475.95556</v>
      </c>
      <c r="H15" s="67">
        <f t="shared" si="4"/>
        <v>554265.83948919969</v>
      </c>
      <c r="I15" s="67">
        <f t="shared" si="4"/>
        <v>1059445.5247451644</v>
      </c>
      <c r="J15" s="67">
        <f t="shared" si="4"/>
        <v>1080022.7473909094</v>
      </c>
      <c r="K15" s="67">
        <f t="shared" si="4"/>
        <v>1101005.3976110776</v>
      </c>
      <c r="L15" s="67">
        <f t="shared" si="4"/>
        <v>1122401.5227883724</v>
      </c>
      <c r="M15" s="67">
        <f t="shared" si="4"/>
        <v>950219.33064146515</v>
      </c>
      <c r="N15" s="67" t="str">
        <f t="shared" si="4"/>
        <v/>
      </c>
      <c r="O15" s="67" t="str">
        <f t="shared" si="4"/>
        <v/>
      </c>
      <c r="P15" s="67" t="str">
        <f t="shared" si="4"/>
        <v/>
      </c>
      <c r="Q15" s="67" t="str">
        <f t="shared" si="4"/>
        <v/>
      </c>
      <c r="R15" s="67" t="str">
        <f t="shared" si="4"/>
        <v/>
      </c>
    </row>
    <row r="16" spans="2:20" x14ac:dyDescent="0.25">
      <c r="B16" s="39" t="s">
        <v>26</v>
      </c>
      <c r="C16" s="51"/>
      <c r="D16" s="65">
        <f>IF(D9="","",D9/(-D48))</f>
        <v>6.2287855424333717E-2</v>
      </c>
      <c r="E16" s="65">
        <f t="shared" ref="E16:R16" si="5">IF(E9="","",IF(E3&gt;Analysis_Period,"",E9/(-E48)))</f>
        <v>6.4802264294042636E-2</v>
      </c>
      <c r="F16" s="65">
        <f t="shared" si="5"/>
        <v>6.605948114723155E-2</v>
      </c>
      <c r="G16" s="65">
        <f t="shared" si="5"/>
        <v>6.7341454053157307E-2</v>
      </c>
      <c r="H16" s="65">
        <f t="shared" si="5"/>
        <v>3.6612013613105641E-2</v>
      </c>
      <c r="I16" s="65">
        <f t="shared" si="5"/>
        <v>6.9981642762001098E-2</v>
      </c>
      <c r="J16" s="65">
        <f t="shared" si="5"/>
        <v>7.1340870594479841E-2</v>
      </c>
      <c r="K16" s="65">
        <f t="shared" si="5"/>
        <v>7.2726878933380548E-2</v>
      </c>
      <c r="L16" s="65">
        <f t="shared" si="5"/>
        <v>7.4140199348329369E-2</v>
      </c>
      <c r="M16" s="65">
        <f t="shared" si="5"/>
        <v>6.2766709745169763E-2</v>
      </c>
      <c r="N16" s="65" t="str">
        <f t="shared" si="5"/>
        <v/>
      </c>
      <c r="O16" s="65" t="str">
        <f t="shared" si="5"/>
        <v/>
      </c>
      <c r="P16" s="65" t="str">
        <f t="shared" si="5"/>
        <v/>
      </c>
      <c r="Q16" s="65" t="str">
        <f t="shared" si="5"/>
        <v/>
      </c>
      <c r="R16" s="65" t="str">
        <f t="shared" si="5"/>
        <v/>
      </c>
    </row>
    <row r="17" spans="2:19" x14ac:dyDescent="0.25">
      <c r="B17" s="50" t="s">
        <v>27</v>
      </c>
      <c r="C17" s="51"/>
      <c r="D17" s="65">
        <f>IF(D16="","",AVERAGE($D$16:D16))</f>
        <v>6.2287855424333717E-2</v>
      </c>
      <c r="E17" s="65">
        <f>IF(E16="","",AVERAGE($D$16:E16))</f>
        <v>6.354505985918818E-2</v>
      </c>
      <c r="F17" s="65">
        <f>IF(F16="","",AVERAGE($D$16:F16))</f>
        <v>6.4383200288535961E-2</v>
      </c>
      <c r="G17" s="65">
        <f>IF(G16="","",AVERAGE($D$16:G16))</f>
        <v>6.5122763729691308E-2</v>
      </c>
      <c r="H17" s="65">
        <f>IF(H16="","",AVERAGE($D$16:H16))</f>
        <v>5.9420613706374172E-2</v>
      </c>
      <c r="I17" s="65">
        <f>IF(I16="","",AVERAGE($D$16:I16))</f>
        <v>6.1180785215645322E-2</v>
      </c>
      <c r="J17" s="65">
        <f>IF(J16="","",AVERAGE($D$16:J16))</f>
        <v>6.2632225984050258E-2</v>
      </c>
      <c r="K17" s="65">
        <f>IF(K16="","",AVERAGE($D$16:K16))</f>
        <v>6.3894057602716547E-2</v>
      </c>
      <c r="L17" s="65">
        <f>IF(L16="","",AVERAGE($D$16:L16))</f>
        <v>6.5032517796673531E-2</v>
      </c>
      <c r="M17" s="65">
        <f>IF(M16="","",AVERAGE($D$16:M16))</f>
        <v>6.480593699152315E-2</v>
      </c>
      <c r="N17" s="65" t="str">
        <f>IF(N16="","",AVERAGE($D$16:N16))</f>
        <v/>
      </c>
      <c r="O17" s="65" t="str">
        <f>IF(O16="","",AVERAGE($D$16:O16))</f>
        <v/>
      </c>
      <c r="P17" s="65" t="str">
        <f>IF(P16="","",AVERAGE($D$16:P16))</f>
        <v/>
      </c>
      <c r="Q17" s="65" t="str">
        <f>IF(Q16="","",AVERAGE($D$16:Q16))</f>
        <v/>
      </c>
      <c r="R17" s="66" t="str">
        <f>IF(R16="","",AVERAGE($D$16:R16))</f>
        <v/>
      </c>
    </row>
    <row r="18" spans="2:19" s="75" customFormat="1" x14ac:dyDescent="0.25">
      <c r="B18" s="71" t="s">
        <v>56</v>
      </c>
      <c r="C18" s="72"/>
      <c r="D18" s="73">
        <f t="shared" ref="D18:R18" si="6">IF(D3=Analysis_Period,D12+D15,D15)</f>
        <v>942970</v>
      </c>
      <c r="E18" s="73">
        <f t="shared" si="6"/>
        <v>981035.39999999991</v>
      </c>
      <c r="F18" s="73">
        <f t="shared" si="6"/>
        <v>1000068.2879999999</v>
      </c>
      <c r="G18" s="73">
        <f t="shared" si="6"/>
        <v>1019475.95556</v>
      </c>
      <c r="H18" s="73">
        <f t="shared" si="6"/>
        <v>554265.83948919969</v>
      </c>
      <c r="I18" s="73">
        <f t="shared" si="6"/>
        <v>1059445.5247451644</v>
      </c>
      <c r="J18" s="73">
        <f t="shared" si="6"/>
        <v>1080022.7473909094</v>
      </c>
      <c r="K18" s="73">
        <f t="shared" si="6"/>
        <v>1101005.3976110776</v>
      </c>
      <c r="L18" s="73">
        <f t="shared" si="6"/>
        <v>1122401.5227883724</v>
      </c>
      <c r="M18" s="73">
        <f t="shared" si="6"/>
        <v>18689415.260509938</v>
      </c>
      <c r="N18" s="73" t="str">
        <f t="shared" si="6"/>
        <v/>
      </c>
      <c r="O18" s="73" t="str">
        <f t="shared" si="6"/>
        <v/>
      </c>
      <c r="P18" s="73" t="str">
        <f t="shared" si="6"/>
        <v/>
      </c>
      <c r="Q18" s="73" t="str">
        <f t="shared" si="6"/>
        <v/>
      </c>
      <c r="R18" s="74" t="str">
        <f t="shared" si="6"/>
        <v/>
      </c>
      <c r="S18" s="74"/>
    </row>
    <row r="19" spans="2:19" x14ac:dyDescent="0.25">
      <c r="B19" s="39"/>
      <c r="C19" s="51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3"/>
      <c r="P19" s="63"/>
      <c r="Q19" s="63"/>
      <c r="R19" s="64"/>
    </row>
    <row r="20" spans="2:19" x14ac:dyDescent="0.25">
      <c r="B20" s="39" t="s">
        <v>30</v>
      </c>
      <c r="C20" s="61"/>
      <c r="D20" s="65">
        <f ca="1">D47</f>
        <v>0.10598756545989474</v>
      </c>
      <c r="E20" s="65">
        <f t="shared" ref="E20:R20" ca="1" si="7">IF(E3&gt;Analysis_Period,"",E47)</f>
        <v>9.0757759211757882E-2</v>
      </c>
      <c r="F20" s="65">
        <f t="shared" ca="1" si="7"/>
        <v>8.5884077497073052E-2</v>
      </c>
      <c r="G20" s="65">
        <f t="shared" ca="1" si="7"/>
        <v>-2.1155067901947544E-2</v>
      </c>
      <c r="H20" s="65">
        <f t="shared" ca="1" si="7"/>
        <v>7.6961288607720002E-2</v>
      </c>
      <c r="I20" s="65">
        <f t="shared" ca="1" si="7"/>
        <v>7.6917956389387809E-2</v>
      </c>
      <c r="J20" s="65">
        <f t="shared" ca="1" si="7"/>
        <v>7.6942067704336869E-2</v>
      </c>
      <c r="K20" s="65">
        <f t="shared" ca="1" si="7"/>
        <v>7.7006144085475459E-2</v>
      </c>
      <c r="L20" s="65">
        <f t="shared" ca="1" si="7"/>
        <v>6.4015216846545542E-2</v>
      </c>
      <c r="M20" s="65">
        <f t="shared" ca="1" si="7"/>
        <v>7.6356605007508627E-2</v>
      </c>
      <c r="N20" s="65" t="str">
        <f t="shared" si="7"/>
        <v/>
      </c>
      <c r="O20" s="65" t="str">
        <f t="shared" si="7"/>
        <v/>
      </c>
      <c r="P20" s="65" t="str">
        <f t="shared" si="7"/>
        <v/>
      </c>
      <c r="Q20" s="65" t="str">
        <f t="shared" si="7"/>
        <v/>
      </c>
      <c r="R20" s="65" t="str">
        <f t="shared" si="7"/>
        <v/>
      </c>
    </row>
    <row r="21" spans="2:19" x14ac:dyDescent="0.25">
      <c r="B21" s="39" t="s">
        <v>38</v>
      </c>
      <c r="C21" s="51"/>
      <c r="D21" s="76">
        <f>IFERROR((SUMIF($D$15:D15,"&gt;0")+D12)/(-D48),"")</f>
        <v>1.1059875654598947</v>
      </c>
      <c r="E21" s="76">
        <f>IFERROR((SUMIF($D$15:E15,"&gt;0")+E12)/(-E48),"")</f>
        <v>1.1840993830962367</v>
      </c>
      <c r="F21" s="76">
        <f>IFERROR((SUMIF($D$15:F15,"&gt;0")+F12)/(-F48),"")</f>
        <v>1.2636899515986364</v>
      </c>
      <c r="G21" s="76">
        <f>IFERROR((SUMIF($D$15:G15,"&gt;0")+G12)/(-G48),"")</f>
        <v>0.92600763619601434</v>
      </c>
      <c r="H21" s="76">
        <f>IFERROR((SUMIF($D$15:H15,"&gt;0")+H12)/(-H48),"")</f>
        <v>1.3953842076707939</v>
      </c>
      <c r="I21" s="76">
        <f>IFERROR((SUMIF($D$15:I15,"&gt;0")+I12)/(-I48),"")</f>
        <v>1.4795827196191591</v>
      </c>
      <c r="J21" s="76">
        <f>IFERROR((SUMIF($D$15:J15,"&gt;0")+J12)/(-J48),"")</f>
        <v>1.5653763316976477</v>
      </c>
      <c r="K21" s="76">
        <f>IFERROR((SUMIF($D$15:K15,"&gt;0")+K12)/(-K48),"")</f>
        <v>1.6527955753581496</v>
      </c>
      <c r="L21" s="76">
        <f>IFERROR((SUMIF($D$15:L15,"&gt;0")+L12)/(-L48),"")</f>
        <v>1.5796606423321473</v>
      </c>
      <c r="M21" s="76">
        <f>IFERROR((SUMIF($D$15:M15,"&gt;0")+M12)/(-M48),"")</f>
        <v>1.8198214317237478</v>
      </c>
      <c r="N21" s="76" t="str">
        <f>IFERROR((SUMIF($D$15:N15,"&gt;0")+N12)/(-N48),"")</f>
        <v/>
      </c>
      <c r="O21" s="76" t="str">
        <f>IFERROR((SUMIF($D$15:O15,"&gt;0")+O12)/(-O48),"")</f>
        <v/>
      </c>
      <c r="P21" s="76" t="str">
        <f>IFERROR((SUMIF($D$15:P15,"&gt;0")+P12)/(-P48),"")</f>
        <v/>
      </c>
      <c r="Q21" s="76" t="str">
        <f>IFERROR((SUMIF($D$15:Q15,"&gt;0")+Q12)/(-Q48),"")</f>
        <v/>
      </c>
      <c r="R21" s="77" t="str">
        <f>IFERROR((SUMIF($D$15:R15,"&gt;0")+R12)/(-R48),"")</f>
        <v/>
      </c>
    </row>
    <row r="22" spans="2:19" x14ac:dyDescent="0.25">
      <c r="B22" s="39"/>
      <c r="C22" s="51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3"/>
      <c r="P22" s="63"/>
      <c r="Q22" s="63"/>
      <c r="R22" s="64"/>
    </row>
    <row r="23" spans="2:19" x14ac:dyDescent="0.25">
      <c r="B23" s="39" t="s">
        <v>31</v>
      </c>
      <c r="C23" s="51"/>
      <c r="D23" s="65">
        <f ca="1">IFERROR(D17/D20,"")</f>
        <v>0.58769021775392305</v>
      </c>
      <c r="E23" s="65">
        <f t="shared" ref="E23:R23" ca="1" si="8">IFERROR(E17/E20,"")</f>
        <v>0.70016118082998868</v>
      </c>
      <c r="F23" s="65">
        <f t="shared" ca="1" si="8"/>
        <v>0.74965234726693264</v>
      </c>
      <c r="G23" s="65">
        <f t="shared" ca="1" si="8"/>
        <v>-3.0783528576476979</v>
      </c>
      <c r="H23" s="65">
        <f t="shared" ca="1" si="8"/>
        <v>0.77208444376818397</v>
      </c>
      <c r="I23" s="65">
        <f t="shared" ca="1" si="8"/>
        <v>0.7954031553558838</v>
      </c>
      <c r="J23" s="65">
        <f t="shared" ca="1" si="8"/>
        <v>0.81401797290820621</v>
      </c>
      <c r="K23" s="65">
        <f t="shared" ca="1" si="8"/>
        <v>0.82972674922919487</v>
      </c>
      <c r="L23" s="65">
        <f t="shared" ca="1" si="8"/>
        <v>1.0158915489197922</v>
      </c>
      <c r="M23" s="65">
        <f t="shared" ca="1" si="8"/>
        <v>0.84872732339462154</v>
      </c>
      <c r="N23" s="65" t="str">
        <f t="shared" si="8"/>
        <v/>
      </c>
      <c r="O23" s="65" t="str">
        <f t="shared" si="8"/>
        <v/>
      </c>
      <c r="P23" s="65" t="str">
        <f t="shared" si="8"/>
        <v/>
      </c>
      <c r="Q23" s="65" t="str">
        <f t="shared" si="8"/>
        <v/>
      </c>
      <c r="R23" s="66" t="str">
        <f t="shared" si="8"/>
        <v/>
      </c>
    </row>
    <row r="24" spans="2:19" x14ac:dyDescent="0.25">
      <c r="B24" s="39" t="s">
        <v>32</v>
      </c>
      <c r="C24" s="51"/>
      <c r="D24" s="65">
        <f ca="1">IFERROR(1-D23,"")</f>
        <v>0.41230978224607695</v>
      </c>
      <c r="E24" s="65">
        <f t="shared" ref="E24:R24" ca="1" si="9">IFERROR(1-E23,"")</f>
        <v>0.29983881917001132</v>
      </c>
      <c r="F24" s="65">
        <f t="shared" ca="1" si="9"/>
        <v>0.25034765273306736</v>
      </c>
      <c r="G24" s="65">
        <f t="shared" ca="1" si="9"/>
        <v>4.0783528576476975</v>
      </c>
      <c r="H24" s="65">
        <f t="shared" ca="1" si="9"/>
        <v>0.22791555623181603</v>
      </c>
      <c r="I24" s="65">
        <f t="shared" ca="1" si="9"/>
        <v>0.2045968446441162</v>
      </c>
      <c r="J24" s="65">
        <f t="shared" ca="1" si="9"/>
        <v>0.18598202709179379</v>
      </c>
      <c r="K24" s="65">
        <f t="shared" ca="1" si="9"/>
        <v>0.17027325077080513</v>
      </c>
      <c r="L24" s="65">
        <f t="shared" ca="1" si="9"/>
        <v>-1.5891548919792164E-2</v>
      </c>
      <c r="M24" s="65">
        <f t="shared" ca="1" si="9"/>
        <v>0.15127267660537846</v>
      </c>
      <c r="N24" s="65" t="str">
        <f t="shared" si="9"/>
        <v/>
      </c>
      <c r="O24" s="65" t="str">
        <f t="shared" si="9"/>
        <v/>
      </c>
      <c r="P24" s="65" t="str">
        <f t="shared" si="9"/>
        <v/>
      </c>
      <c r="Q24" s="65" t="str">
        <f t="shared" si="9"/>
        <v/>
      </c>
      <c r="R24" s="66" t="str">
        <f t="shared" si="9"/>
        <v/>
      </c>
    </row>
    <row r="25" spans="2:19" collapsed="1" x14ac:dyDescent="0.25">
      <c r="B25" s="39"/>
      <c r="C25" s="61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9" t="e">
        <f>#REF!</f>
        <v>#REF!</v>
      </c>
      <c r="P25" s="79" t="e">
        <f>#REF!</f>
        <v>#REF!</v>
      </c>
      <c r="Q25" s="79" t="e">
        <f>#REF!</f>
        <v>#REF!</v>
      </c>
      <c r="R25" s="80" t="e">
        <f>#REF!</f>
        <v>#REF!</v>
      </c>
    </row>
    <row r="26" spans="2:19" x14ac:dyDescent="0.25">
      <c r="B26" s="39" t="s">
        <v>33</v>
      </c>
      <c r="C26" s="51"/>
      <c r="D26" s="67">
        <f>Debt!D6</f>
        <v>487500</v>
      </c>
      <c r="E26" s="67">
        <f>Debt!E6</f>
        <v>487500</v>
      </c>
      <c r="F26" s="67">
        <f>Debt!F6</f>
        <v>487500</v>
      </c>
      <c r="G26" s="67">
        <f>Debt!G6</f>
        <v>658755.63130223611</v>
      </c>
      <c r="H26" s="67">
        <f>Debt!H6</f>
        <v>658755.63130223611</v>
      </c>
      <c r="I26" s="67">
        <f>Debt!I6</f>
        <v>658755.63130223611</v>
      </c>
      <c r="J26" s="67">
        <f>Debt!J6</f>
        <v>658755.63130223611</v>
      </c>
      <c r="K26" s="67">
        <f>Debt!K6</f>
        <v>658755.63130223611</v>
      </c>
      <c r="L26" s="67">
        <f>Debt!L6</f>
        <v>658755.63130223611</v>
      </c>
      <c r="M26" s="67">
        <f>Debt!M6</f>
        <v>658755.63130223611</v>
      </c>
      <c r="N26" s="67" t="str">
        <f>Debt!N6</f>
        <v/>
      </c>
      <c r="O26" s="67" t="str">
        <f>Debt!O6</f>
        <v/>
      </c>
      <c r="P26" s="67" t="str">
        <f>Debt!P6</f>
        <v/>
      </c>
      <c r="Q26" s="67" t="str">
        <f>Debt!Q6</f>
        <v/>
      </c>
      <c r="R26" s="68" t="str">
        <f>Debt!R6</f>
        <v/>
      </c>
    </row>
    <row r="27" spans="2:19" x14ac:dyDescent="0.25">
      <c r="B27" s="39" t="s">
        <v>179</v>
      </c>
      <c r="C27" s="51"/>
      <c r="D27" s="76">
        <f>IFERROR(D7/D26,"")</f>
        <v>2.344553846153846</v>
      </c>
      <c r="E27" s="76">
        <f t="shared" ref="E27:R27" si="10">IFERROR(E7/E26,"")</f>
        <v>2.4308418461538461</v>
      </c>
      <c r="F27" s="76">
        <f t="shared" si="10"/>
        <v>2.4782528984615384</v>
      </c>
      <c r="G27" s="76">
        <f t="shared" si="10"/>
        <v>1.8697639868749598</v>
      </c>
      <c r="H27" s="76">
        <f t="shared" si="10"/>
        <v>1.1700124217011509</v>
      </c>
      <c r="I27" s="76">
        <f t="shared" si="10"/>
        <v>1.9434546356049018</v>
      </c>
      <c r="J27" s="76">
        <f t="shared" si="10"/>
        <v>1.9813951778498879</v>
      </c>
      <c r="K27" s="76">
        <f t="shared" si="10"/>
        <v>2.0200852454351028</v>
      </c>
      <c r="L27" s="76">
        <f t="shared" si="10"/>
        <v>2.0595397360123031</v>
      </c>
      <c r="M27" s="76">
        <f t="shared" si="10"/>
        <v>1.8052792080350457</v>
      </c>
      <c r="N27" s="76" t="str">
        <f t="shared" si="10"/>
        <v/>
      </c>
      <c r="O27" s="76" t="str">
        <f t="shared" si="10"/>
        <v/>
      </c>
      <c r="P27" s="76" t="str">
        <f t="shared" si="10"/>
        <v/>
      </c>
      <c r="Q27" s="76" t="str">
        <f t="shared" si="10"/>
        <v/>
      </c>
      <c r="R27" s="77" t="str">
        <f t="shared" si="10"/>
        <v/>
      </c>
    </row>
    <row r="28" spans="2:19" x14ac:dyDescent="0.25">
      <c r="B28" s="39" t="s">
        <v>180</v>
      </c>
      <c r="C28" s="51"/>
      <c r="D28" s="65">
        <f>IFERROR(D7/D29,"")</f>
        <v>0.1192501451333861</v>
      </c>
      <c r="E28" s="65">
        <f t="shared" ref="E28:R28" si="11">IFERROR(E7/E29,"")</f>
        <v>0.12363897865928261</v>
      </c>
      <c r="F28" s="65">
        <f t="shared" si="11"/>
        <v>0.12605042887096946</v>
      </c>
      <c r="G28" s="65">
        <f t="shared" si="11"/>
        <v>0.13175505891410699</v>
      </c>
      <c r="H28" s="65">
        <f t="shared" si="11"/>
        <v>8.3790729541358869E-2</v>
      </c>
      <c r="I28" s="65">
        <f t="shared" si="11"/>
        <v>0.14160563211364671</v>
      </c>
      <c r="J28" s="65">
        <f t="shared" si="11"/>
        <v>0.14706009049532687</v>
      </c>
      <c r="K28" s="65">
        <f t="shared" si="11"/>
        <v>0.15292353066657716</v>
      </c>
      <c r="L28" s="65">
        <f t="shared" si="11"/>
        <v>0.15924690978933428</v>
      </c>
      <c r="M28" s="65">
        <f t="shared" si="11"/>
        <v>0.14279582960027473</v>
      </c>
      <c r="N28" s="65" t="str">
        <f t="shared" si="11"/>
        <v/>
      </c>
      <c r="O28" s="65" t="str">
        <f t="shared" si="11"/>
        <v/>
      </c>
      <c r="P28" s="65" t="str">
        <f t="shared" si="11"/>
        <v/>
      </c>
      <c r="Q28" s="65" t="str">
        <f t="shared" si="11"/>
        <v/>
      </c>
      <c r="R28" s="66" t="str">
        <f t="shared" si="11"/>
        <v/>
      </c>
    </row>
    <row r="29" spans="2:19" x14ac:dyDescent="0.25">
      <c r="B29" s="39" t="s">
        <v>40</v>
      </c>
      <c r="C29" s="51"/>
      <c r="D29" s="67">
        <f>Debt!D7</f>
        <v>9584642.4230473004</v>
      </c>
      <c r="E29" s="67">
        <f>Debt!E7</f>
        <v>9584642.4230473004</v>
      </c>
      <c r="F29" s="67">
        <f>Debt!F7</f>
        <v>9584642.4230473004</v>
      </c>
      <c r="G29" s="67">
        <f>Debt!G7</f>
        <v>9348540.8887637053</v>
      </c>
      <c r="H29" s="67">
        <f>Debt!H7</f>
        <v>9198538.73701814</v>
      </c>
      <c r="I29" s="67">
        <f>Debt!I7</f>
        <v>9041036.4776852969</v>
      </c>
      <c r="J29" s="67">
        <f>Debt!J7</f>
        <v>8875659.105385812</v>
      </c>
      <c r="K29" s="67">
        <f>Debt!K7</f>
        <v>8702012.8644713517</v>
      </c>
      <c r="L29" s="67">
        <f>Debt!L7</f>
        <v>8519684.3115111683</v>
      </c>
      <c r="M29" s="67">
        <f>Debt!M7</f>
        <v>8328239.330902976</v>
      </c>
      <c r="N29" s="67" t="str">
        <f>Debt!N7</f>
        <v/>
      </c>
      <c r="O29" s="67" t="str">
        <f>Debt!O7</f>
        <v/>
      </c>
      <c r="P29" s="67" t="str">
        <f>Debt!P7</f>
        <v/>
      </c>
      <c r="Q29" s="67" t="str">
        <f>Debt!Q7</f>
        <v/>
      </c>
      <c r="R29" s="68" t="str">
        <f>Debt!R7</f>
        <v/>
      </c>
    </row>
    <row r="30" spans="2:19" x14ac:dyDescent="0.25">
      <c r="B30" s="39"/>
      <c r="C30" s="51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8"/>
    </row>
    <row r="31" spans="2:19" x14ac:dyDescent="0.25">
      <c r="B31" s="39" t="s">
        <v>46</v>
      </c>
      <c r="C31" s="51"/>
      <c r="D31" s="67">
        <f>IFERROR(D12-D29,"")</f>
        <v>6215829.5769526996</v>
      </c>
      <c r="E31" s="67">
        <f t="shared" ref="E31:R31" si="12">IFERROR(E12-E29,"")</f>
        <v>6417321.6564228982</v>
      </c>
      <c r="F31" s="67">
        <f t="shared" si="12"/>
        <v>6622167.5185316466</v>
      </c>
      <c r="G31" s="67">
        <f t="shared" si="12"/>
        <v>726652.20259838365</v>
      </c>
      <c r="H31" s="67">
        <f t="shared" si="12"/>
        <v>7428236.3978541251</v>
      </c>
      <c r="I31" s="67">
        <f t="shared" si="12"/>
        <v>7800966.506104501</v>
      </c>
      <c r="J31" s="67">
        <f t="shared" si="12"/>
        <v>8185142.575908212</v>
      </c>
      <c r="K31" s="67">
        <f t="shared" si="12"/>
        <v>8581215.1481251512</v>
      </c>
      <c r="L31" s="67">
        <f t="shared" si="12"/>
        <v>6533959.2880575322</v>
      </c>
      <c r="M31" s="67">
        <f t="shared" si="12"/>
        <v>9410956.5989654996</v>
      </c>
      <c r="N31" s="67" t="str">
        <f t="shared" si="12"/>
        <v/>
      </c>
      <c r="O31" s="67" t="str">
        <f t="shared" si="12"/>
        <v/>
      </c>
      <c r="P31" s="67" t="str">
        <f t="shared" si="12"/>
        <v/>
      </c>
      <c r="Q31" s="67" t="str">
        <f t="shared" si="12"/>
        <v/>
      </c>
      <c r="R31" s="68" t="str">
        <f t="shared" si="12"/>
        <v/>
      </c>
    </row>
    <row r="32" spans="2:19" x14ac:dyDescent="0.25">
      <c r="B32" s="50" t="s">
        <v>54</v>
      </c>
      <c r="C32" s="51"/>
      <c r="D32" s="67">
        <f>IFERROR(D31-(-D68),"")</f>
        <v>661565.81072679907</v>
      </c>
      <c r="E32" s="67">
        <f t="shared" ref="E32:R32" si="13">IFERROR(E31-(-E68),"")</f>
        <v>863057.89019699767</v>
      </c>
      <c r="F32" s="67">
        <f t="shared" si="13"/>
        <v>1067903.7523057461</v>
      </c>
      <c r="G32" s="67">
        <f t="shared" si="13"/>
        <v>-4827611.5636275169</v>
      </c>
      <c r="H32" s="67">
        <f t="shared" si="13"/>
        <v>1769482.8398151882</v>
      </c>
      <c r="I32" s="67">
        <f t="shared" si="13"/>
        <v>2142212.948065564</v>
      </c>
      <c r="J32" s="67">
        <f t="shared" si="13"/>
        <v>2526389.0178692751</v>
      </c>
      <c r="K32" s="67">
        <f t="shared" si="13"/>
        <v>2922461.5900862142</v>
      </c>
      <c r="L32" s="67">
        <f t="shared" si="13"/>
        <v>875205.73001859523</v>
      </c>
      <c r="M32" s="67">
        <f t="shared" si="13"/>
        <v>3752203.0409265626</v>
      </c>
      <c r="N32" s="67" t="str">
        <f t="shared" si="13"/>
        <v/>
      </c>
      <c r="O32" s="67" t="str">
        <f t="shared" si="13"/>
        <v/>
      </c>
      <c r="P32" s="67" t="str">
        <f t="shared" si="13"/>
        <v/>
      </c>
      <c r="Q32" s="67" t="str">
        <f t="shared" si="13"/>
        <v/>
      </c>
      <c r="R32" s="68" t="str">
        <f t="shared" si="13"/>
        <v/>
      </c>
    </row>
    <row r="33" spans="2:21" collapsed="1" x14ac:dyDescent="0.25">
      <c r="B33" s="39"/>
      <c r="C33" s="61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9" t="str">
        <f t="shared" ref="O33:R33" si="14">O35</f>
        <v/>
      </c>
      <c r="P33" s="79" t="str">
        <f t="shared" si="14"/>
        <v/>
      </c>
      <c r="Q33" s="79" t="str">
        <f t="shared" si="14"/>
        <v/>
      </c>
      <c r="R33" s="80" t="str">
        <f t="shared" si="14"/>
        <v/>
      </c>
    </row>
    <row r="34" spans="2:21" x14ac:dyDescent="0.25">
      <c r="B34" s="39" t="s">
        <v>34</v>
      </c>
      <c r="C34" s="51"/>
      <c r="D34" s="67">
        <f>IFERROR(D9-D26,"")</f>
        <v>455470</v>
      </c>
      <c r="E34" s="67">
        <f t="shared" ref="E34:R34" si="15">IFERROR(E9-E26,"")</f>
        <v>493535.39999999991</v>
      </c>
      <c r="F34" s="67">
        <f t="shared" si="15"/>
        <v>512568.28799999994</v>
      </c>
      <c r="G34" s="67">
        <f t="shared" si="15"/>
        <v>360720.32425776392</v>
      </c>
      <c r="H34" s="67">
        <f t="shared" si="15"/>
        <v>-104489.79181303643</v>
      </c>
      <c r="I34" s="67">
        <f t="shared" si="15"/>
        <v>400689.89344292833</v>
      </c>
      <c r="J34" s="67">
        <f t="shared" si="15"/>
        <v>421267.11608867324</v>
      </c>
      <c r="K34" s="67">
        <f t="shared" si="15"/>
        <v>442249.76630884153</v>
      </c>
      <c r="L34" s="67">
        <f t="shared" si="15"/>
        <v>463645.89148613624</v>
      </c>
      <c r="M34" s="67">
        <f t="shared" si="15"/>
        <v>291463.69933922903</v>
      </c>
      <c r="N34" s="67" t="str">
        <f t="shared" si="15"/>
        <v/>
      </c>
      <c r="O34" s="67" t="str">
        <f t="shared" si="15"/>
        <v/>
      </c>
      <c r="P34" s="67" t="str">
        <f t="shared" si="15"/>
        <v/>
      </c>
      <c r="Q34" s="67" t="str">
        <f t="shared" si="15"/>
        <v/>
      </c>
      <c r="R34" s="68" t="str">
        <f t="shared" si="15"/>
        <v/>
      </c>
    </row>
    <row r="35" spans="2:21" x14ac:dyDescent="0.25">
      <c r="B35" s="39" t="s">
        <v>36</v>
      </c>
      <c r="C35" s="51"/>
      <c r="D35" s="65">
        <f>IF(D34="","",D34/(-D68))</f>
        <v>8.2003667663318416E-2</v>
      </c>
      <c r="E35" s="65">
        <f t="shared" ref="E35:R35" si="16">IF(E34="","",E34/(-E68))</f>
        <v>8.8857033222128595E-2</v>
      </c>
      <c r="F35" s="65">
        <f t="shared" si="16"/>
        <v>9.2283749849404073E-2</v>
      </c>
      <c r="G35" s="65">
        <f t="shared" si="16"/>
        <v>6.494475945690853E-2</v>
      </c>
      <c r="H35" s="65">
        <f t="shared" si="16"/>
        <v>-1.8465160346945338E-2</v>
      </c>
      <c r="I35" s="65">
        <f t="shared" si="16"/>
        <v>7.0808860879566018E-2</v>
      </c>
      <c r="J35" s="65">
        <f t="shared" si="16"/>
        <v>7.4445213379227812E-2</v>
      </c>
      <c r="K35" s="65">
        <f t="shared" si="16"/>
        <v>7.8153211970253197E-2</v>
      </c>
      <c r="L35" s="65">
        <f t="shared" si="16"/>
        <v>8.1934278764883087E-2</v>
      </c>
      <c r="M35" s="65">
        <f t="shared" si="16"/>
        <v>5.1506696015268229E-2</v>
      </c>
      <c r="N35" s="65" t="str">
        <f t="shared" si="16"/>
        <v/>
      </c>
      <c r="O35" s="65" t="str">
        <f t="shared" si="16"/>
        <v/>
      </c>
      <c r="P35" s="65" t="str">
        <f t="shared" si="16"/>
        <v/>
      </c>
      <c r="Q35" s="65" t="str">
        <f t="shared" si="16"/>
        <v/>
      </c>
      <c r="R35" s="66" t="str">
        <f t="shared" si="16"/>
        <v/>
      </c>
    </row>
    <row r="36" spans="2:21" x14ac:dyDescent="0.25">
      <c r="B36" s="50" t="s">
        <v>35</v>
      </c>
      <c r="C36" s="51"/>
      <c r="D36" s="65">
        <f>IF(D35="","",AVERAGE($D$35:D35))</f>
        <v>8.2003667663318416E-2</v>
      </c>
      <c r="E36" s="65">
        <f>IF(E35="","",AVERAGE($D$35:E35))</f>
        <v>8.5430350442723513E-2</v>
      </c>
      <c r="F36" s="65">
        <f>IF(F35="","",AVERAGE($D$35:F35))</f>
        <v>8.7714816911617033E-2</v>
      </c>
      <c r="G36" s="65">
        <f>IF(G35="","",AVERAGE($D$35:G35))</f>
        <v>8.2022302547939907E-2</v>
      </c>
      <c r="H36" s="65">
        <f>IF(H35="","",AVERAGE($D$35:H35))</f>
        <v>6.1924809968962859E-2</v>
      </c>
      <c r="I36" s="65">
        <f>IF(I35="","",AVERAGE($D$35:I35))</f>
        <v>6.3405485120730048E-2</v>
      </c>
      <c r="J36" s="65">
        <f>IF(J35="","",AVERAGE($D$35:J35))</f>
        <v>6.4982589157658296E-2</v>
      </c>
      <c r="K36" s="65">
        <f>IF(K35="","",AVERAGE($D$35:K35))</f>
        <v>6.6628917009232666E-2</v>
      </c>
      <c r="L36" s="65">
        <f>IF(L35="","",AVERAGE($D$35:L35))</f>
        <v>6.8329512759860489E-2</v>
      </c>
      <c r="M36" s="65">
        <f>IF(M35="","",AVERAGE($D$35:M35))</f>
        <v>6.6647231085401271E-2</v>
      </c>
      <c r="N36" s="65" t="str">
        <f>IF(N35="","",AVERAGE($D$35:N35))</f>
        <v/>
      </c>
      <c r="O36" s="65" t="str">
        <f>IF(O35="","",AVERAGE($D$35:O35))</f>
        <v/>
      </c>
      <c r="P36" s="65" t="str">
        <f>IF(P35="","",AVERAGE($D$35:P35))</f>
        <v/>
      </c>
      <c r="Q36" s="65" t="str">
        <f>IF(Q35="","",AVERAGE($D$35:Q35))</f>
        <v/>
      </c>
      <c r="R36" s="66" t="str">
        <f>IF(R35="","",AVERAGE($D$35:R35))</f>
        <v/>
      </c>
    </row>
    <row r="37" spans="2:21" collapsed="1" x14ac:dyDescent="0.25">
      <c r="B37" s="39"/>
      <c r="C37" s="61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9" t="str">
        <f t="shared" ref="O37:R37" si="17">O39</f>
        <v/>
      </c>
      <c r="P37" s="79" t="str">
        <f t="shared" si="17"/>
        <v/>
      </c>
      <c r="Q37" s="79" t="str">
        <f t="shared" si="17"/>
        <v/>
      </c>
      <c r="R37" s="80" t="str">
        <f t="shared" si="17"/>
        <v/>
      </c>
    </row>
    <row r="38" spans="2:21" x14ac:dyDescent="0.25">
      <c r="B38" s="39" t="s">
        <v>37</v>
      </c>
      <c r="C38" s="51"/>
      <c r="D38" s="65">
        <f ca="1">D67</f>
        <v>0.20111320919240772</v>
      </c>
      <c r="E38" s="65">
        <f t="shared" ref="E38:R38" ca="1" si="18">E67</f>
        <v>0.15721182063481276</v>
      </c>
      <c r="F38" s="65">
        <f t="shared" ca="1" si="18"/>
        <v>0.14299372037265989</v>
      </c>
      <c r="G38" s="65">
        <f t="shared" ca="1" si="18"/>
        <v>-0.22629520416032844</v>
      </c>
      <c r="H38" s="65">
        <f t="shared" ca="1" si="18"/>
        <v>0.11498073086226213</v>
      </c>
      <c r="I38" s="65">
        <f t="shared" ca="1" si="18"/>
        <v>0.11334895548788082</v>
      </c>
      <c r="J38" s="65">
        <f t="shared" ca="1" si="18"/>
        <v>0.11208647500839541</v>
      </c>
      <c r="K38" s="65">
        <f t="shared" ca="1" si="18"/>
        <v>0.11105979881279304</v>
      </c>
      <c r="L38" s="65">
        <f t="shared" ca="1" si="18"/>
        <v>8.0674429379100188E-2</v>
      </c>
      <c r="M38" s="65">
        <f t="shared" ca="1" si="18"/>
        <v>0.10769873492159809</v>
      </c>
      <c r="N38" s="65" t="e">
        <f t="shared" ca="1" si="18"/>
        <v>#VALUE!</v>
      </c>
      <c r="O38" s="65" t="str">
        <f t="shared" si="18"/>
        <v/>
      </c>
      <c r="P38" s="65" t="str">
        <f t="shared" si="18"/>
        <v/>
      </c>
      <c r="Q38" s="65" t="str">
        <f t="shared" si="18"/>
        <v/>
      </c>
      <c r="R38" s="66" t="str">
        <f t="shared" si="18"/>
        <v/>
      </c>
    </row>
    <row r="39" spans="2:21" x14ac:dyDescent="0.25">
      <c r="B39" s="39" t="s">
        <v>39</v>
      </c>
      <c r="C39" s="51"/>
      <c r="D39" s="76">
        <f>IFERROR((SUMIF($D$34:D34,"&gt;0")+D31)/(-D68),"")</f>
        <v>1.2011132091924075</v>
      </c>
      <c r="E39" s="76">
        <f>IFERROR((SUMIF($D$34:E34,"&gt;0")+E31)/(-E68),"")</f>
        <v>1.3262472519248556</v>
      </c>
      <c r="F39" s="76">
        <f>IFERROR((SUMIF($D$34:F34,"&gt;0")+F31)/(-F68),"")</f>
        <v>1.4554118325612966</v>
      </c>
      <c r="G39" s="76">
        <f>IFERROR((SUMIF($D$34:G34,"&gt;0")+G31)/(-G68),"")</f>
        <v>0.45891702701547171</v>
      </c>
      <c r="H39" s="76">
        <f>IFERROR((SUMIF($D$34:H34,"&gt;0")+H31)/(-H68),"")</f>
        <v>1.6347293295659435</v>
      </c>
      <c r="I39" s="76">
        <f>IFERROR((SUMIF($D$34:I34,"&gt;0")+I31)/(-I68),"")</f>
        <v>1.7714060718486269</v>
      </c>
      <c r="J39" s="76">
        <f>IFERROR((SUMIF($D$34:J34,"&gt;0")+J31)/(-J68),"")</f>
        <v>1.9137418667602388</v>
      </c>
      <c r="K39" s="76">
        <f>IFERROR((SUMIF($D$34:K34,"&gt;0")+K31)/(-K68),"")</f>
        <v>2.0618879787842981</v>
      </c>
      <c r="L39" s="76">
        <f>IFERROR((SUMIF($D$34:L34,"&gt;0")+L31)/(-L68),"")</f>
        <v>1.7820366029752603</v>
      </c>
      <c r="M39" s="76">
        <f>IFERROR((SUMIF($D$34:M34,"&gt;0")+M31)/(-M68),"")</f>
        <v>2.3419586737546139</v>
      </c>
      <c r="N39" s="76" t="str">
        <f>IFERROR((SUMIF($D$34:N34,"&gt;0")+N31)/(-N68),"")</f>
        <v/>
      </c>
      <c r="O39" s="76" t="str">
        <f>IFERROR((SUMIF($D$34:O34,"&gt;0")+O31)/(-O68),"")</f>
        <v/>
      </c>
      <c r="P39" s="76" t="str">
        <f>IFERROR((SUMIF($D$34:P34,"&gt;0")+P31)/(-P68),"")</f>
        <v/>
      </c>
      <c r="Q39" s="76" t="str">
        <f>IFERROR((SUMIF($D$34:Q34,"&gt;0")+Q31)/(-Q68),"")</f>
        <v/>
      </c>
      <c r="R39" s="77" t="str">
        <f>IFERROR((SUMIF($D$34:R34,"&gt;0")+R31)/(-R68),"")</f>
        <v/>
      </c>
    </row>
    <row r="40" spans="2:21" x14ac:dyDescent="0.25">
      <c r="B40" s="39"/>
      <c r="C40" s="39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39"/>
      <c r="P40" s="39"/>
      <c r="Q40" s="39"/>
    </row>
    <row r="41" spans="2:21" x14ac:dyDescent="0.25">
      <c r="B41" s="39" t="s">
        <v>105</v>
      </c>
      <c r="C41" s="39"/>
      <c r="D41" s="81">
        <f t="shared" ref="D41:R41" si="19">IF(D3=Analysis_Period,D31+D34,D34)</f>
        <v>455470</v>
      </c>
      <c r="E41" s="81">
        <f t="shared" si="19"/>
        <v>493535.39999999991</v>
      </c>
      <c r="F41" s="81">
        <f t="shared" si="19"/>
        <v>512568.28799999994</v>
      </c>
      <c r="G41" s="81">
        <f t="shared" si="19"/>
        <v>360720.32425776392</v>
      </c>
      <c r="H41" s="81">
        <f t="shared" si="19"/>
        <v>-104489.79181303643</v>
      </c>
      <c r="I41" s="81">
        <f t="shared" si="19"/>
        <v>400689.89344292833</v>
      </c>
      <c r="J41" s="81">
        <f t="shared" si="19"/>
        <v>421267.11608867324</v>
      </c>
      <c r="K41" s="81">
        <f t="shared" si="19"/>
        <v>442249.76630884153</v>
      </c>
      <c r="L41" s="81">
        <f t="shared" si="19"/>
        <v>463645.89148613624</v>
      </c>
      <c r="M41" s="81">
        <f t="shared" si="19"/>
        <v>9702420.2983047292</v>
      </c>
      <c r="N41" s="81" t="str">
        <f t="shared" si="19"/>
        <v/>
      </c>
      <c r="O41" s="81" t="str">
        <f t="shared" si="19"/>
        <v/>
      </c>
      <c r="P41" s="81" t="str">
        <f t="shared" si="19"/>
        <v/>
      </c>
      <c r="Q41" s="81" t="str">
        <f t="shared" si="19"/>
        <v/>
      </c>
      <c r="R41" s="81" t="str">
        <f t="shared" si="19"/>
        <v/>
      </c>
      <c r="S41" s="82"/>
    </row>
    <row r="44" spans="2:21" x14ac:dyDescent="0.25">
      <c r="B44" s="83" t="s">
        <v>51</v>
      </c>
    </row>
    <row r="45" spans="2:21" hidden="1" outlineLevel="1" x14ac:dyDescent="0.25">
      <c r="B45" s="75" t="s">
        <v>47</v>
      </c>
    </row>
    <row r="46" spans="2:21" hidden="1" outlineLevel="1" x14ac:dyDescent="0.25">
      <c r="B46" s="84" t="s">
        <v>48</v>
      </c>
      <c r="C46" s="54"/>
      <c r="D46" s="54">
        <f>IF(D5="","",D3)</f>
        <v>1</v>
      </c>
      <c r="E46" s="54">
        <f t="shared" ref="E46:R46" si="20">IF(E5="","",E3)</f>
        <v>2</v>
      </c>
      <c r="F46" s="54">
        <f t="shared" si="20"/>
        <v>3</v>
      </c>
      <c r="G46" s="54">
        <f t="shared" si="20"/>
        <v>4</v>
      </c>
      <c r="H46" s="54">
        <f t="shared" si="20"/>
        <v>5</v>
      </c>
      <c r="I46" s="54">
        <f t="shared" si="20"/>
        <v>6</v>
      </c>
      <c r="J46" s="54">
        <f t="shared" si="20"/>
        <v>7</v>
      </c>
      <c r="K46" s="54">
        <f t="shared" si="20"/>
        <v>8</v>
      </c>
      <c r="L46" s="54">
        <f t="shared" si="20"/>
        <v>9</v>
      </c>
      <c r="M46" s="54">
        <f t="shared" si="20"/>
        <v>10</v>
      </c>
      <c r="N46" s="54">
        <f t="shared" si="20"/>
        <v>11</v>
      </c>
      <c r="O46" s="54" t="str">
        <f t="shared" si="20"/>
        <v/>
      </c>
      <c r="P46" s="54" t="str">
        <f t="shared" si="20"/>
        <v/>
      </c>
      <c r="Q46" s="54" t="str">
        <f t="shared" si="20"/>
        <v/>
      </c>
      <c r="R46" s="54" t="str">
        <f t="shared" si="20"/>
        <v/>
      </c>
      <c r="S46" s="54"/>
      <c r="T46" s="54"/>
      <c r="U46" s="54"/>
    </row>
    <row r="47" spans="2:21" hidden="1" outlineLevel="1" x14ac:dyDescent="0.25">
      <c r="B47" s="84" t="s">
        <v>49</v>
      </c>
      <c r="C47" s="54"/>
      <c r="D47" s="85">
        <f ca="1">IF(D46="","",IRR(D48:D63))</f>
        <v>0.10598756545989474</v>
      </c>
      <c r="E47" s="85">
        <f t="shared" ref="E47:R47" ca="1" si="21">IF(E46="","",IRR(E48:E63))</f>
        <v>9.0757759211757882E-2</v>
      </c>
      <c r="F47" s="85">
        <f t="shared" ca="1" si="21"/>
        <v>8.5884077497073052E-2</v>
      </c>
      <c r="G47" s="85">
        <f t="shared" ca="1" si="21"/>
        <v>-2.1155067901947544E-2</v>
      </c>
      <c r="H47" s="85">
        <f t="shared" ca="1" si="21"/>
        <v>7.6961288607720002E-2</v>
      </c>
      <c r="I47" s="85">
        <f t="shared" ca="1" si="21"/>
        <v>7.6917956389387809E-2</v>
      </c>
      <c r="J47" s="85">
        <f t="shared" ca="1" si="21"/>
        <v>7.6942067704336869E-2</v>
      </c>
      <c r="K47" s="85">
        <f t="shared" ca="1" si="21"/>
        <v>7.7006144085475459E-2</v>
      </c>
      <c r="L47" s="85">
        <f t="shared" ca="1" si="21"/>
        <v>6.4015216846545542E-2</v>
      </c>
      <c r="M47" s="85">
        <f t="shared" ca="1" si="21"/>
        <v>7.6356605007508627E-2</v>
      </c>
      <c r="N47" s="85" t="e">
        <f t="shared" ca="1" si="21"/>
        <v>#VALUE!</v>
      </c>
      <c r="O47" s="85" t="str">
        <f t="shared" si="21"/>
        <v/>
      </c>
      <c r="P47" s="85" t="str">
        <f t="shared" si="21"/>
        <v/>
      </c>
      <c r="Q47" s="85" t="str">
        <f t="shared" si="21"/>
        <v/>
      </c>
      <c r="R47" s="85" t="str">
        <f t="shared" si="21"/>
        <v/>
      </c>
      <c r="S47" s="54"/>
      <c r="T47" s="54"/>
      <c r="U47" s="54"/>
    </row>
    <row r="48" spans="2:21" hidden="1" outlineLevel="1" x14ac:dyDescent="0.25">
      <c r="B48" s="84">
        <v>0</v>
      </c>
      <c r="D48" s="68">
        <f>IF(D46="","",-(Basis+(-SUMIF($D$15:D15,"&lt;0"))))</f>
        <v>-15138906.189273201</v>
      </c>
      <c r="E48" s="68">
        <f>IF(E46="","",-(Basis+(-SUMIF($D$15:E15,"&lt;0"))))</f>
        <v>-15138906.189273201</v>
      </c>
      <c r="F48" s="68">
        <f>IF(F46="","",-(Basis+(-SUMIF($D$15:F15,"&lt;0"))))</f>
        <v>-15138906.189273201</v>
      </c>
      <c r="G48" s="68">
        <f>IF(G46="","",-(Basis+(-SUMIF($D$15:G15,"&lt;0"))))</f>
        <v>-15138906.189273201</v>
      </c>
      <c r="H48" s="68">
        <f>IF(H46="","",-(Basis+(-SUMIF($D$15:H15,"&lt;0"))))</f>
        <v>-15138906.189273201</v>
      </c>
      <c r="I48" s="68">
        <f>IF(I46="","",-(Basis+(-SUMIF($D$15:I15,"&lt;0"))))</f>
        <v>-15138906.189273201</v>
      </c>
      <c r="J48" s="68">
        <f>IF(J46="","",-(Basis+(-SUMIF($D$15:J15,"&lt;0"))))</f>
        <v>-15138906.189273201</v>
      </c>
      <c r="K48" s="68">
        <f>IF(K46="","",-(Basis+(-SUMIF($D$15:K15,"&lt;0"))))</f>
        <v>-15138906.189273201</v>
      </c>
      <c r="L48" s="68">
        <f>IF(L46="","",-(Basis+(-SUMIF($D$15:L15,"&lt;0"))))</f>
        <v>-15138906.189273201</v>
      </c>
      <c r="M48" s="68">
        <f>IF(M46="","",-(Basis+(-SUMIF($D$15:M15,"&lt;0"))))</f>
        <v>-15138906.189273201</v>
      </c>
      <c r="N48" s="68">
        <f>IF(N46="","",-(Basis+(-SUMIF($D$15:N15,"&lt;0"))))</f>
        <v>-15138906.189273201</v>
      </c>
      <c r="O48" s="68" t="str">
        <f>IF(O46="","",-(Basis+(-SUMIF($D$15:O15,"&lt;0"))))</f>
        <v/>
      </c>
      <c r="P48" s="68" t="str">
        <f>IF(P46="","",-(Basis+(-SUMIF($D$15:P15,"&lt;0"))))</f>
        <v/>
      </c>
      <c r="Q48" s="68" t="str">
        <f>IF(Q46="","",-(Basis+(-SUMIF($D$15:Q15,"&lt;0"))))</f>
        <v/>
      </c>
      <c r="R48" s="68" t="str">
        <f>IF(R46="","",-(Basis+(-SUMIF($D$15:R15,"&lt;0"))))</f>
        <v/>
      </c>
    </row>
    <row r="49" spans="2:18" hidden="1" outlineLevel="1" x14ac:dyDescent="0.25">
      <c r="B49" s="53">
        <f>B48+1</f>
        <v>1</v>
      </c>
      <c r="D49" s="86">
        <f t="shared" ref="D49:D63" ca="1" si="22">IF($B49&gt;D$46,"",IF(D$46="","",IF(D$46=$B49,OFFSET($D$15,0,$B48)+OFFSET($D$12,0,$B48),OFFSET($D$15,0,$B48))))</f>
        <v>16743442</v>
      </c>
      <c r="E49" s="86">
        <f t="shared" ref="E49:R49" ca="1" si="23">IF($B49&gt;E$46,"",IF(E$46="","",IF(E$46=$B49,OFFSET($D$15,0,$B48)+OFFSET($D$12,0,$B48),OFFSET($D$15,0,$B48))))</f>
        <v>942970</v>
      </c>
      <c r="F49" s="86">
        <f t="shared" ca="1" si="23"/>
        <v>942970</v>
      </c>
      <c r="G49" s="86">
        <f t="shared" ca="1" si="23"/>
        <v>942970</v>
      </c>
      <c r="H49" s="86">
        <f t="shared" ca="1" si="23"/>
        <v>942970</v>
      </c>
      <c r="I49" s="86">
        <f t="shared" ca="1" si="23"/>
        <v>942970</v>
      </c>
      <c r="J49" s="86">
        <f t="shared" ca="1" si="23"/>
        <v>942970</v>
      </c>
      <c r="K49" s="86">
        <f t="shared" ca="1" si="23"/>
        <v>942970</v>
      </c>
      <c r="L49" s="86">
        <f t="shared" ca="1" si="23"/>
        <v>942970</v>
      </c>
      <c r="M49" s="86">
        <f t="shared" ca="1" si="23"/>
        <v>942970</v>
      </c>
      <c r="N49" s="86">
        <f t="shared" ca="1" si="23"/>
        <v>942970</v>
      </c>
      <c r="O49" s="86" t="str">
        <f t="shared" ca="1" si="23"/>
        <v/>
      </c>
      <c r="P49" s="86" t="str">
        <f t="shared" ca="1" si="23"/>
        <v/>
      </c>
      <c r="Q49" s="86" t="str">
        <f t="shared" ca="1" si="23"/>
        <v/>
      </c>
      <c r="R49" s="86" t="str">
        <f t="shared" ca="1" si="23"/>
        <v/>
      </c>
    </row>
    <row r="50" spans="2:18" hidden="1" outlineLevel="1" x14ac:dyDescent="0.25">
      <c r="B50" s="53">
        <f t="shared" ref="B50:B63" si="24">B49+1</f>
        <v>2</v>
      </c>
      <c r="D50" s="86" t="str">
        <f t="shared" ca="1" si="22"/>
        <v/>
      </c>
      <c r="E50" s="86">
        <f t="shared" ref="E50:E63" ca="1" si="25">IF($B50&gt;E$46,"",IF(E$46="","",IF(E$46=$B50,OFFSET($D$15,0,$B49)+OFFSET($D$12,0,$B49),OFFSET($D$15,0,$B49))))</f>
        <v>16982999.479470197</v>
      </c>
      <c r="F50" s="86">
        <f t="shared" ref="F50:F63" ca="1" si="26">IF($B50&gt;F$46,"",IF(F$46="","",IF(F$46=$B50,OFFSET($D$15,0,$B49)+OFFSET($D$12,0,$B49),OFFSET($D$15,0,$B49))))</f>
        <v>981035.39999999991</v>
      </c>
      <c r="G50" s="86">
        <f t="shared" ref="G50:G63" ca="1" si="27">IF($B50&gt;G$46,"",IF(G$46="","",IF(G$46=$B50,OFFSET($D$15,0,$B49)+OFFSET($D$12,0,$B49),OFFSET($D$15,0,$B49))))</f>
        <v>981035.39999999991</v>
      </c>
      <c r="H50" s="86">
        <f t="shared" ref="H50:H63" ca="1" si="28">IF($B50&gt;H$46,"",IF(H$46="","",IF(H$46=$B50,OFFSET($D$15,0,$B49)+OFFSET($D$12,0,$B49),OFFSET($D$15,0,$B49))))</f>
        <v>981035.39999999991</v>
      </c>
      <c r="I50" s="86">
        <f t="shared" ref="I50:I63" ca="1" si="29">IF($B50&gt;I$46,"",IF(I$46="","",IF(I$46=$B50,OFFSET($D$15,0,$B49)+OFFSET($D$12,0,$B49),OFFSET($D$15,0,$B49))))</f>
        <v>981035.39999999991</v>
      </c>
      <c r="J50" s="86">
        <f t="shared" ref="J50:J63" ca="1" si="30">IF($B50&gt;J$46,"",IF(J$46="","",IF(J$46=$B50,OFFSET($D$15,0,$B49)+OFFSET($D$12,0,$B49),OFFSET($D$15,0,$B49))))</f>
        <v>981035.39999999991</v>
      </c>
      <c r="K50" s="86">
        <f t="shared" ref="K50:K63" ca="1" si="31">IF($B50&gt;K$46,"",IF(K$46="","",IF(K$46=$B50,OFFSET($D$15,0,$B49)+OFFSET($D$12,0,$B49),OFFSET($D$15,0,$B49))))</f>
        <v>981035.39999999991</v>
      </c>
      <c r="L50" s="86">
        <f t="shared" ref="L50:L63" ca="1" si="32">IF($B50&gt;L$46,"",IF(L$46="","",IF(L$46=$B50,OFFSET($D$15,0,$B49)+OFFSET($D$12,0,$B49),OFFSET($D$15,0,$B49))))</f>
        <v>981035.39999999991</v>
      </c>
      <c r="M50" s="86">
        <f t="shared" ref="M50:M63" ca="1" si="33">IF($B50&gt;M$46,"",IF(M$46="","",IF(M$46=$B50,OFFSET($D$15,0,$B49)+OFFSET($D$12,0,$B49),OFFSET($D$15,0,$B49))))</f>
        <v>981035.39999999991</v>
      </c>
      <c r="N50" s="86">
        <f t="shared" ref="N50:N63" ca="1" si="34">IF($B50&gt;N$46,"",IF(N$46="","",IF(N$46=$B50,OFFSET($D$15,0,$B49)+OFFSET($D$12,0,$B49),OFFSET($D$15,0,$B49))))</f>
        <v>981035.39999999991</v>
      </c>
      <c r="O50" s="86" t="str">
        <f t="shared" ref="O50:O63" ca="1" si="35">IF($B50&gt;O$46,"",IF(O$46="","",IF(O$46=$B50,OFFSET($D$15,0,$B49)+OFFSET($D$12,0,$B49),OFFSET($D$15,0,$B49))))</f>
        <v/>
      </c>
      <c r="P50" s="86" t="str">
        <f t="shared" ref="P50:P63" ca="1" si="36">IF($B50&gt;P$46,"",IF(P$46="","",IF(P$46=$B50,OFFSET($D$15,0,$B49)+OFFSET($D$12,0,$B49),OFFSET($D$15,0,$B49))))</f>
        <v/>
      </c>
      <c r="Q50" s="86" t="str">
        <f t="shared" ref="Q50:Q63" ca="1" si="37">IF($B50&gt;Q$46,"",IF(Q$46="","",IF(Q$46=$B50,OFFSET($D$15,0,$B49)+OFFSET($D$12,0,$B49),OFFSET($D$15,0,$B49))))</f>
        <v/>
      </c>
      <c r="R50" s="86" t="str">
        <f t="shared" ref="R50:R63" ca="1" si="38">IF($B50&gt;R$46,"",IF(R$46="","",IF(R$46=$B50,OFFSET($D$15,0,$B49)+OFFSET($D$12,0,$B49),OFFSET($D$15,0,$B49))))</f>
        <v/>
      </c>
    </row>
    <row r="51" spans="2:18" hidden="1" outlineLevel="1" x14ac:dyDescent="0.25">
      <c r="B51" s="53">
        <f t="shared" si="24"/>
        <v>3</v>
      </c>
      <c r="D51" s="86" t="str">
        <f t="shared" ca="1" si="22"/>
        <v/>
      </c>
      <c r="E51" s="86" t="str">
        <f t="shared" ca="1" si="25"/>
        <v/>
      </c>
      <c r="F51" s="86">
        <f t="shared" ca="1" si="26"/>
        <v>17206878.229578946</v>
      </c>
      <c r="G51" s="86">
        <f t="shared" ca="1" si="27"/>
        <v>1000068.2879999999</v>
      </c>
      <c r="H51" s="86">
        <f t="shared" ca="1" si="28"/>
        <v>1000068.2879999999</v>
      </c>
      <c r="I51" s="86">
        <f t="shared" ca="1" si="29"/>
        <v>1000068.2879999999</v>
      </c>
      <c r="J51" s="86">
        <f t="shared" ca="1" si="30"/>
        <v>1000068.2879999999</v>
      </c>
      <c r="K51" s="86">
        <f t="shared" ca="1" si="31"/>
        <v>1000068.2879999999</v>
      </c>
      <c r="L51" s="86">
        <f t="shared" ca="1" si="32"/>
        <v>1000068.2879999999</v>
      </c>
      <c r="M51" s="86">
        <f t="shared" ca="1" si="33"/>
        <v>1000068.2879999999</v>
      </c>
      <c r="N51" s="86">
        <f t="shared" ca="1" si="34"/>
        <v>1000068.2879999999</v>
      </c>
      <c r="O51" s="86" t="str">
        <f t="shared" ca="1" si="35"/>
        <v/>
      </c>
      <c r="P51" s="86" t="str">
        <f t="shared" ca="1" si="36"/>
        <v/>
      </c>
      <c r="Q51" s="86" t="str">
        <f t="shared" ca="1" si="37"/>
        <v/>
      </c>
      <c r="R51" s="86" t="str">
        <f t="shared" ca="1" si="38"/>
        <v/>
      </c>
    </row>
    <row r="52" spans="2:18" hidden="1" outlineLevel="1" x14ac:dyDescent="0.25">
      <c r="B52" s="53">
        <f t="shared" si="24"/>
        <v>4</v>
      </c>
      <c r="D52" s="86" t="str">
        <f t="shared" ca="1" si="22"/>
        <v/>
      </c>
      <c r="E52" s="86" t="str">
        <f t="shared" ca="1" si="25"/>
        <v/>
      </c>
      <c r="F52" s="86" t="str">
        <f t="shared" ca="1" si="26"/>
        <v/>
      </c>
      <c r="G52" s="86">
        <f t="shared" ca="1" si="27"/>
        <v>11094669.04692209</v>
      </c>
      <c r="H52" s="86">
        <f t="shared" ca="1" si="28"/>
        <v>1019475.95556</v>
      </c>
      <c r="I52" s="86">
        <f t="shared" ca="1" si="29"/>
        <v>1019475.95556</v>
      </c>
      <c r="J52" s="86">
        <f t="shared" ca="1" si="30"/>
        <v>1019475.95556</v>
      </c>
      <c r="K52" s="86">
        <f t="shared" ca="1" si="31"/>
        <v>1019475.95556</v>
      </c>
      <c r="L52" s="86">
        <f t="shared" ca="1" si="32"/>
        <v>1019475.95556</v>
      </c>
      <c r="M52" s="86">
        <f t="shared" ca="1" si="33"/>
        <v>1019475.95556</v>
      </c>
      <c r="N52" s="86">
        <f t="shared" ca="1" si="34"/>
        <v>1019475.95556</v>
      </c>
      <c r="O52" s="86" t="str">
        <f t="shared" ca="1" si="35"/>
        <v/>
      </c>
      <c r="P52" s="86" t="str">
        <f t="shared" ca="1" si="36"/>
        <v/>
      </c>
      <c r="Q52" s="86" t="str">
        <f t="shared" ca="1" si="37"/>
        <v/>
      </c>
      <c r="R52" s="86" t="str">
        <f t="shared" ca="1" si="38"/>
        <v/>
      </c>
    </row>
    <row r="53" spans="2:18" hidden="1" outlineLevel="1" x14ac:dyDescent="0.25">
      <c r="B53" s="53">
        <f t="shared" si="24"/>
        <v>5</v>
      </c>
      <c r="D53" s="86" t="str">
        <f t="shared" ca="1" si="22"/>
        <v/>
      </c>
      <c r="E53" s="86" t="str">
        <f t="shared" ca="1" si="25"/>
        <v/>
      </c>
      <c r="F53" s="86" t="str">
        <f t="shared" ca="1" si="26"/>
        <v/>
      </c>
      <c r="G53" s="86" t="str">
        <f t="shared" ca="1" si="27"/>
        <v/>
      </c>
      <c r="H53" s="86">
        <f t="shared" ca="1" si="28"/>
        <v>17181040.974361464</v>
      </c>
      <c r="I53" s="86">
        <f t="shared" ca="1" si="29"/>
        <v>554265.83948919969</v>
      </c>
      <c r="J53" s="86">
        <f t="shared" ca="1" si="30"/>
        <v>554265.83948919969</v>
      </c>
      <c r="K53" s="86">
        <f t="shared" ca="1" si="31"/>
        <v>554265.83948919969</v>
      </c>
      <c r="L53" s="86">
        <f t="shared" ca="1" si="32"/>
        <v>554265.83948919969</v>
      </c>
      <c r="M53" s="86">
        <f t="shared" ca="1" si="33"/>
        <v>554265.83948919969</v>
      </c>
      <c r="N53" s="86">
        <f t="shared" ca="1" si="34"/>
        <v>554265.83948919969</v>
      </c>
      <c r="O53" s="86" t="str">
        <f t="shared" ca="1" si="35"/>
        <v/>
      </c>
      <c r="P53" s="86" t="str">
        <f t="shared" ca="1" si="36"/>
        <v/>
      </c>
      <c r="Q53" s="86" t="str">
        <f t="shared" ca="1" si="37"/>
        <v/>
      </c>
      <c r="R53" s="86" t="str">
        <f t="shared" ca="1" si="38"/>
        <v/>
      </c>
    </row>
    <row r="54" spans="2:18" hidden="1" outlineLevel="1" x14ac:dyDescent="0.25">
      <c r="B54" s="53">
        <f t="shared" si="24"/>
        <v>6</v>
      </c>
      <c r="D54" s="86" t="str">
        <f t="shared" ca="1" si="22"/>
        <v/>
      </c>
      <c r="E54" s="86" t="str">
        <f t="shared" ca="1" si="25"/>
        <v/>
      </c>
      <c r="F54" s="86" t="str">
        <f t="shared" ca="1" si="26"/>
        <v/>
      </c>
      <c r="G54" s="86" t="str">
        <f t="shared" ca="1" si="27"/>
        <v/>
      </c>
      <c r="H54" s="86" t="str">
        <f t="shared" ca="1" si="28"/>
        <v/>
      </c>
      <c r="I54" s="86">
        <f t="shared" ca="1" si="29"/>
        <v>17901448.50853496</v>
      </c>
      <c r="J54" s="86">
        <f t="shared" ca="1" si="30"/>
        <v>1059445.5247451644</v>
      </c>
      <c r="K54" s="86">
        <f t="shared" ca="1" si="31"/>
        <v>1059445.5247451644</v>
      </c>
      <c r="L54" s="86">
        <f t="shared" ca="1" si="32"/>
        <v>1059445.5247451644</v>
      </c>
      <c r="M54" s="86">
        <f t="shared" ca="1" si="33"/>
        <v>1059445.5247451644</v>
      </c>
      <c r="N54" s="86">
        <f t="shared" ca="1" si="34"/>
        <v>1059445.5247451644</v>
      </c>
      <c r="O54" s="86" t="str">
        <f t="shared" ca="1" si="35"/>
        <v/>
      </c>
      <c r="P54" s="86" t="str">
        <f t="shared" ca="1" si="36"/>
        <v/>
      </c>
      <c r="Q54" s="86" t="str">
        <f t="shared" ca="1" si="37"/>
        <v/>
      </c>
      <c r="R54" s="86" t="str">
        <f t="shared" ca="1" si="38"/>
        <v/>
      </c>
    </row>
    <row r="55" spans="2:18" hidden="1" outlineLevel="1" x14ac:dyDescent="0.25">
      <c r="B55" s="53">
        <f t="shared" si="24"/>
        <v>7</v>
      </c>
      <c r="D55" s="86" t="str">
        <f t="shared" ca="1" si="22"/>
        <v/>
      </c>
      <c r="E55" s="86" t="str">
        <f t="shared" ca="1" si="25"/>
        <v/>
      </c>
      <c r="F55" s="86" t="str">
        <f t="shared" ca="1" si="26"/>
        <v/>
      </c>
      <c r="G55" s="86" t="str">
        <f t="shared" ca="1" si="27"/>
        <v/>
      </c>
      <c r="H55" s="86" t="str">
        <f t="shared" ca="1" si="28"/>
        <v/>
      </c>
      <c r="I55" s="86" t="str">
        <f t="shared" ca="1" si="29"/>
        <v/>
      </c>
      <c r="J55" s="86">
        <f t="shared" ca="1" si="30"/>
        <v>18140824.428684935</v>
      </c>
      <c r="K55" s="86">
        <f t="shared" ca="1" si="31"/>
        <v>1080022.7473909094</v>
      </c>
      <c r="L55" s="86">
        <f t="shared" ca="1" si="32"/>
        <v>1080022.7473909094</v>
      </c>
      <c r="M55" s="86">
        <f t="shared" ca="1" si="33"/>
        <v>1080022.7473909094</v>
      </c>
      <c r="N55" s="86">
        <f t="shared" ca="1" si="34"/>
        <v>1080022.7473909094</v>
      </c>
      <c r="O55" s="86" t="str">
        <f t="shared" ca="1" si="35"/>
        <v/>
      </c>
      <c r="P55" s="86" t="str">
        <f t="shared" ca="1" si="36"/>
        <v/>
      </c>
      <c r="Q55" s="86" t="str">
        <f t="shared" ca="1" si="37"/>
        <v/>
      </c>
      <c r="R55" s="86" t="str">
        <f t="shared" ca="1" si="38"/>
        <v/>
      </c>
    </row>
    <row r="56" spans="2:18" hidden="1" outlineLevel="1" x14ac:dyDescent="0.25">
      <c r="B56" s="53">
        <f t="shared" si="24"/>
        <v>8</v>
      </c>
      <c r="D56" s="86" t="str">
        <f t="shared" ca="1" si="22"/>
        <v/>
      </c>
      <c r="E56" s="86" t="str">
        <f t="shared" ca="1" si="25"/>
        <v/>
      </c>
      <c r="F56" s="86" t="str">
        <f t="shared" ca="1" si="26"/>
        <v/>
      </c>
      <c r="G56" s="86" t="str">
        <f t="shared" ca="1" si="27"/>
        <v/>
      </c>
      <c r="H56" s="86" t="str">
        <f t="shared" ca="1" si="28"/>
        <v/>
      </c>
      <c r="I56" s="86" t="str">
        <f t="shared" ca="1" si="29"/>
        <v/>
      </c>
      <c r="J56" s="86" t="str">
        <f t="shared" ca="1" si="30"/>
        <v/>
      </c>
      <c r="K56" s="86">
        <f t="shared" ca="1" si="31"/>
        <v>18384233.410207581</v>
      </c>
      <c r="L56" s="86">
        <f t="shared" ca="1" si="32"/>
        <v>1101005.3976110776</v>
      </c>
      <c r="M56" s="86">
        <f t="shared" ca="1" si="33"/>
        <v>1101005.3976110776</v>
      </c>
      <c r="N56" s="86">
        <f t="shared" ca="1" si="34"/>
        <v>1101005.3976110776</v>
      </c>
      <c r="O56" s="86" t="str">
        <f t="shared" ca="1" si="35"/>
        <v/>
      </c>
      <c r="P56" s="86" t="str">
        <f t="shared" ca="1" si="36"/>
        <v/>
      </c>
      <c r="Q56" s="86" t="str">
        <f t="shared" ca="1" si="37"/>
        <v/>
      </c>
      <c r="R56" s="86" t="str">
        <f t="shared" ca="1" si="38"/>
        <v/>
      </c>
    </row>
    <row r="57" spans="2:18" hidden="1" outlineLevel="1" x14ac:dyDescent="0.25">
      <c r="B57" s="53">
        <f t="shared" si="24"/>
        <v>9</v>
      </c>
      <c r="D57" s="86" t="str">
        <f t="shared" ca="1" si="22"/>
        <v/>
      </c>
      <c r="E57" s="86" t="str">
        <f t="shared" ca="1" si="25"/>
        <v/>
      </c>
      <c r="F57" s="86" t="str">
        <f t="shared" ca="1" si="26"/>
        <v/>
      </c>
      <c r="G57" s="86" t="str">
        <f t="shared" ca="1" si="27"/>
        <v/>
      </c>
      <c r="H57" s="86" t="str">
        <f t="shared" ca="1" si="28"/>
        <v/>
      </c>
      <c r="I57" s="86" t="str">
        <f t="shared" ca="1" si="29"/>
        <v/>
      </c>
      <c r="J57" s="86" t="str">
        <f t="shared" ca="1" si="30"/>
        <v/>
      </c>
      <c r="K57" s="86" t="str">
        <f t="shared" ca="1" si="31"/>
        <v/>
      </c>
      <c r="L57" s="86">
        <f t="shared" ca="1" si="32"/>
        <v>16176045.122357072</v>
      </c>
      <c r="M57" s="86">
        <f t="shared" ca="1" si="33"/>
        <v>1122401.5227883724</v>
      </c>
      <c r="N57" s="86">
        <f t="shared" ca="1" si="34"/>
        <v>1122401.5227883724</v>
      </c>
      <c r="O57" s="86" t="str">
        <f t="shared" ca="1" si="35"/>
        <v/>
      </c>
      <c r="P57" s="86" t="str">
        <f t="shared" ca="1" si="36"/>
        <v/>
      </c>
      <c r="Q57" s="86" t="str">
        <f t="shared" ca="1" si="37"/>
        <v/>
      </c>
      <c r="R57" s="86" t="str">
        <f t="shared" ca="1" si="38"/>
        <v/>
      </c>
    </row>
    <row r="58" spans="2:18" hidden="1" outlineLevel="1" x14ac:dyDescent="0.25">
      <c r="B58" s="53">
        <f t="shared" si="24"/>
        <v>10</v>
      </c>
      <c r="D58" s="86" t="str">
        <f t="shared" ca="1" si="22"/>
        <v/>
      </c>
      <c r="E58" s="86" t="str">
        <f t="shared" ca="1" si="25"/>
        <v/>
      </c>
      <c r="F58" s="86" t="str">
        <f t="shared" ca="1" si="26"/>
        <v/>
      </c>
      <c r="G58" s="86" t="str">
        <f t="shared" ca="1" si="27"/>
        <v/>
      </c>
      <c r="H58" s="86" t="str">
        <f t="shared" ca="1" si="28"/>
        <v/>
      </c>
      <c r="I58" s="86" t="str">
        <f t="shared" ca="1" si="29"/>
        <v/>
      </c>
      <c r="J58" s="86" t="str">
        <f t="shared" ca="1" si="30"/>
        <v/>
      </c>
      <c r="K58" s="86" t="str">
        <f t="shared" ca="1" si="31"/>
        <v/>
      </c>
      <c r="L58" s="86" t="str">
        <f t="shared" ca="1" si="32"/>
        <v/>
      </c>
      <c r="M58" s="86">
        <f ca="1">IF($B58&gt;M$46,"",IF(M$46="","",IF(M$46=$B58,OFFSET($D$15,0,$B57)+OFFSET($D$12,0,$B57),OFFSET($D$15,0,$B57))))</f>
        <v>18689415.260509938</v>
      </c>
      <c r="N58" s="86">
        <f t="shared" ca="1" si="34"/>
        <v>950219.33064146515</v>
      </c>
      <c r="O58" s="86" t="str">
        <f t="shared" ca="1" si="35"/>
        <v/>
      </c>
      <c r="P58" s="86" t="str">
        <f t="shared" ca="1" si="36"/>
        <v/>
      </c>
      <c r="Q58" s="86" t="str">
        <f t="shared" ca="1" si="37"/>
        <v/>
      </c>
      <c r="R58" s="86" t="str">
        <f t="shared" ca="1" si="38"/>
        <v/>
      </c>
    </row>
    <row r="59" spans="2:18" hidden="1" outlineLevel="1" x14ac:dyDescent="0.25">
      <c r="B59" s="53">
        <f t="shared" si="24"/>
        <v>11</v>
      </c>
      <c r="D59" s="86" t="str">
        <f t="shared" ca="1" si="22"/>
        <v/>
      </c>
      <c r="E59" s="86" t="str">
        <f t="shared" ca="1" si="25"/>
        <v/>
      </c>
      <c r="F59" s="86" t="str">
        <f t="shared" ca="1" si="26"/>
        <v/>
      </c>
      <c r="G59" s="86" t="str">
        <f t="shared" ca="1" si="27"/>
        <v/>
      </c>
      <c r="H59" s="86" t="str">
        <f t="shared" ca="1" si="28"/>
        <v/>
      </c>
      <c r="I59" s="86" t="str">
        <f t="shared" ca="1" si="29"/>
        <v/>
      </c>
      <c r="J59" s="86" t="str">
        <f t="shared" ca="1" si="30"/>
        <v/>
      </c>
      <c r="K59" s="86" t="str">
        <f t="shared" ca="1" si="31"/>
        <v/>
      </c>
      <c r="L59" s="86" t="str">
        <f t="shared" ca="1" si="32"/>
        <v/>
      </c>
      <c r="M59" s="86" t="str">
        <f t="shared" ca="1" si="33"/>
        <v/>
      </c>
      <c r="N59" s="86" t="e">
        <f t="shared" ca="1" si="34"/>
        <v>#VALUE!</v>
      </c>
      <c r="O59" s="86" t="str">
        <f t="shared" ca="1" si="35"/>
        <v/>
      </c>
      <c r="P59" s="86" t="str">
        <f t="shared" ca="1" si="36"/>
        <v/>
      </c>
      <c r="Q59" s="86" t="str">
        <f t="shared" ca="1" si="37"/>
        <v/>
      </c>
      <c r="R59" s="86" t="str">
        <f t="shared" ca="1" si="38"/>
        <v/>
      </c>
    </row>
    <row r="60" spans="2:18" hidden="1" outlineLevel="1" x14ac:dyDescent="0.25">
      <c r="B60" s="53">
        <f t="shared" si="24"/>
        <v>12</v>
      </c>
      <c r="D60" s="86" t="str">
        <f t="shared" ca="1" si="22"/>
        <v/>
      </c>
      <c r="E60" s="86" t="str">
        <f t="shared" ca="1" si="25"/>
        <v/>
      </c>
      <c r="F60" s="86" t="str">
        <f t="shared" ca="1" si="26"/>
        <v/>
      </c>
      <c r="G60" s="86" t="str">
        <f t="shared" ca="1" si="27"/>
        <v/>
      </c>
      <c r="H60" s="86" t="str">
        <f t="shared" ca="1" si="28"/>
        <v/>
      </c>
      <c r="I60" s="86" t="str">
        <f t="shared" ca="1" si="29"/>
        <v/>
      </c>
      <c r="J60" s="86" t="str">
        <f t="shared" ca="1" si="30"/>
        <v/>
      </c>
      <c r="K60" s="86" t="str">
        <f t="shared" ca="1" si="31"/>
        <v/>
      </c>
      <c r="L60" s="86" t="str">
        <f t="shared" ca="1" si="32"/>
        <v/>
      </c>
      <c r="M60" s="86" t="str">
        <f t="shared" ca="1" si="33"/>
        <v/>
      </c>
      <c r="N60" s="86" t="str">
        <f t="shared" ca="1" si="34"/>
        <v/>
      </c>
      <c r="O60" s="86" t="str">
        <f t="shared" ca="1" si="35"/>
        <v/>
      </c>
      <c r="P60" s="86" t="str">
        <f t="shared" ca="1" si="36"/>
        <v/>
      </c>
      <c r="Q60" s="86" t="str">
        <f t="shared" ca="1" si="37"/>
        <v/>
      </c>
      <c r="R60" s="86" t="str">
        <f t="shared" ca="1" si="38"/>
        <v/>
      </c>
    </row>
    <row r="61" spans="2:18" hidden="1" outlineLevel="1" x14ac:dyDescent="0.25">
      <c r="B61" s="53">
        <f t="shared" si="24"/>
        <v>13</v>
      </c>
      <c r="D61" s="86" t="str">
        <f t="shared" ca="1" si="22"/>
        <v/>
      </c>
      <c r="E61" s="86" t="str">
        <f t="shared" ca="1" si="25"/>
        <v/>
      </c>
      <c r="F61" s="86" t="str">
        <f t="shared" ca="1" si="26"/>
        <v/>
      </c>
      <c r="G61" s="86" t="str">
        <f t="shared" ca="1" si="27"/>
        <v/>
      </c>
      <c r="H61" s="86" t="str">
        <f t="shared" ca="1" si="28"/>
        <v/>
      </c>
      <c r="I61" s="86" t="str">
        <f t="shared" ca="1" si="29"/>
        <v/>
      </c>
      <c r="J61" s="86" t="str">
        <f t="shared" ca="1" si="30"/>
        <v/>
      </c>
      <c r="K61" s="86" t="str">
        <f t="shared" ca="1" si="31"/>
        <v/>
      </c>
      <c r="L61" s="86" t="str">
        <f t="shared" ca="1" si="32"/>
        <v/>
      </c>
      <c r="M61" s="86" t="str">
        <f t="shared" ca="1" si="33"/>
        <v/>
      </c>
      <c r="N61" s="86" t="str">
        <f t="shared" ca="1" si="34"/>
        <v/>
      </c>
      <c r="O61" s="86" t="str">
        <f t="shared" ca="1" si="35"/>
        <v/>
      </c>
      <c r="P61" s="86" t="str">
        <f t="shared" ca="1" si="36"/>
        <v/>
      </c>
      <c r="Q61" s="86" t="str">
        <f t="shared" ca="1" si="37"/>
        <v/>
      </c>
      <c r="R61" s="86" t="str">
        <f t="shared" ca="1" si="38"/>
        <v/>
      </c>
    </row>
    <row r="62" spans="2:18" hidden="1" outlineLevel="1" x14ac:dyDescent="0.25">
      <c r="B62" s="53">
        <f t="shared" si="24"/>
        <v>14</v>
      </c>
      <c r="D62" s="86" t="str">
        <f t="shared" ca="1" si="22"/>
        <v/>
      </c>
      <c r="E62" s="86" t="str">
        <f t="shared" ca="1" si="25"/>
        <v/>
      </c>
      <c r="F62" s="86" t="str">
        <f t="shared" ca="1" si="26"/>
        <v/>
      </c>
      <c r="G62" s="86" t="str">
        <f t="shared" ca="1" si="27"/>
        <v/>
      </c>
      <c r="H62" s="86" t="str">
        <f t="shared" ca="1" si="28"/>
        <v/>
      </c>
      <c r="I62" s="86" t="str">
        <f t="shared" ca="1" si="29"/>
        <v/>
      </c>
      <c r="J62" s="86" t="str">
        <f t="shared" ca="1" si="30"/>
        <v/>
      </c>
      <c r="K62" s="86" t="str">
        <f t="shared" ca="1" si="31"/>
        <v/>
      </c>
      <c r="L62" s="86" t="str">
        <f t="shared" ca="1" si="32"/>
        <v/>
      </c>
      <c r="M62" s="86" t="str">
        <f t="shared" ca="1" si="33"/>
        <v/>
      </c>
      <c r="N62" s="86" t="str">
        <f t="shared" ca="1" si="34"/>
        <v/>
      </c>
      <c r="O62" s="86" t="str">
        <f t="shared" ca="1" si="35"/>
        <v/>
      </c>
      <c r="P62" s="86" t="str">
        <f t="shared" ca="1" si="36"/>
        <v/>
      </c>
      <c r="Q62" s="86" t="str">
        <f t="shared" ca="1" si="37"/>
        <v/>
      </c>
      <c r="R62" s="86" t="str">
        <f t="shared" ca="1" si="38"/>
        <v/>
      </c>
    </row>
    <row r="63" spans="2:18" hidden="1" outlineLevel="1" x14ac:dyDescent="0.25">
      <c r="B63" s="53">
        <f t="shared" si="24"/>
        <v>15</v>
      </c>
      <c r="D63" s="86" t="str">
        <f t="shared" ca="1" si="22"/>
        <v/>
      </c>
      <c r="E63" s="86" t="str">
        <f t="shared" ca="1" si="25"/>
        <v/>
      </c>
      <c r="F63" s="86" t="str">
        <f t="shared" ca="1" si="26"/>
        <v/>
      </c>
      <c r="G63" s="86" t="str">
        <f t="shared" ca="1" si="27"/>
        <v/>
      </c>
      <c r="H63" s="86" t="str">
        <f t="shared" ca="1" si="28"/>
        <v/>
      </c>
      <c r="I63" s="86" t="str">
        <f t="shared" ca="1" si="29"/>
        <v/>
      </c>
      <c r="J63" s="86" t="str">
        <f t="shared" ca="1" si="30"/>
        <v/>
      </c>
      <c r="K63" s="86" t="str">
        <f t="shared" ca="1" si="31"/>
        <v/>
      </c>
      <c r="L63" s="86" t="str">
        <f t="shared" ca="1" si="32"/>
        <v/>
      </c>
      <c r="M63" s="86" t="str">
        <f t="shared" ca="1" si="33"/>
        <v/>
      </c>
      <c r="N63" s="86" t="str">
        <f t="shared" ca="1" si="34"/>
        <v/>
      </c>
      <c r="O63" s="86" t="str">
        <f t="shared" ca="1" si="35"/>
        <v/>
      </c>
      <c r="P63" s="86" t="str">
        <f t="shared" ca="1" si="36"/>
        <v/>
      </c>
      <c r="Q63" s="86" t="str">
        <f t="shared" ca="1" si="37"/>
        <v/>
      </c>
      <c r="R63" s="86" t="str">
        <f t="shared" ca="1" si="38"/>
        <v/>
      </c>
    </row>
    <row r="64" spans="2:18" hidden="1" outlineLevel="1" x14ac:dyDescent="0.25"/>
    <row r="65" spans="2:18" hidden="1" outlineLevel="1" x14ac:dyDescent="0.25">
      <c r="B65" s="75" t="s">
        <v>50</v>
      </c>
    </row>
    <row r="66" spans="2:18" hidden="1" outlineLevel="1" x14ac:dyDescent="0.25">
      <c r="B66" s="84" t="s">
        <v>48</v>
      </c>
      <c r="C66" s="54"/>
      <c r="D66" s="54">
        <f>D46</f>
        <v>1</v>
      </c>
      <c r="E66" s="54">
        <f t="shared" ref="E66:R66" si="39">E46</f>
        <v>2</v>
      </c>
      <c r="F66" s="54">
        <f t="shared" si="39"/>
        <v>3</v>
      </c>
      <c r="G66" s="54">
        <f t="shared" si="39"/>
        <v>4</v>
      </c>
      <c r="H66" s="54">
        <f t="shared" si="39"/>
        <v>5</v>
      </c>
      <c r="I66" s="54">
        <f t="shared" si="39"/>
        <v>6</v>
      </c>
      <c r="J66" s="54">
        <f t="shared" si="39"/>
        <v>7</v>
      </c>
      <c r="K66" s="54">
        <f t="shared" si="39"/>
        <v>8</v>
      </c>
      <c r="L66" s="54">
        <f t="shared" si="39"/>
        <v>9</v>
      </c>
      <c r="M66" s="54">
        <f t="shared" si="39"/>
        <v>10</v>
      </c>
      <c r="N66" s="54">
        <f t="shared" si="39"/>
        <v>11</v>
      </c>
      <c r="O66" s="54" t="str">
        <f t="shared" si="39"/>
        <v/>
      </c>
      <c r="P66" s="54" t="str">
        <f t="shared" si="39"/>
        <v/>
      </c>
      <c r="Q66" s="54" t="str">
        <f t="shared" si="39"/>
        <v/>
      </c>
      <c r="R66" s="54" t="str">
        <f t="shared" si="39"/>
        <v/>
      </c>
    </row>
    <row r="67" spans="2:18" hidden="1" outlineLevel="1" x14ac:dyDescent="0.25">
      <c r="B67" s="84" t="s">
        <v>49</v>
      </c>
      <c r="C67" s="54"/>
      <c r="D67" s="85">
        <f ca="1">IF(D66="","",IRR(D68:D83))</f>
        <v>0.20111320919240772</v>
      </c>
      <c r="E67" s="85">
        <f t="shared" ref="E67" ca="1" si="40">IF(E66="","",IRR(E68:E83))</f>
        <v>0.15721182063481276</v>
      </c>
      <c r="F67" s="85">
        <f t="shared" ref="F67" ca="1" si="41">IF(F66="","",IRR(F68:F83))</f>
        <v>0.14299372037265989</v>
      </c>
      <c r="G67" s="85">
        <f t="shared" ref="G67" ca="1" si="42">IF(G66="","",IRR(G68:G83))</f>
        <v>-0.22629520416032844</v>
      </c>
      <c r="H67" s="85">
        <f t="shared" ref="H67" ca="1" si="43">IF(H66="","",IRR(H68:H83))</f>
        <v>0.11498073086226213</v>
      </c>
      <c r="I67" s="85">
        <f t="shared" ref="I67" ca="1" si="44">IF(I66="","",IRR(I68:I83))</f>
        <v>0.11334895548788082</v>
      </c>
      <c r="J67" s="85">
        <f t="shared" ref="J67" ca="1" si="45">IF(J66="","",IRR(J68:J83))</f>
        <v>0.11208647500839541</v>
      </c>
      <c r="K67" s="85">
        <f t="shared" ref="K67" ca="1" si="46">IF(K66="","",IRR(K68:K83))</f>
        <v>0.11105979881279304</v>
      </c>
      <c r="L67" s="85">
        <f t="shared" ref="L67" ca="1" si="47">IF(L66="","",IRR(L68:L83))</f>
        <v>8.0674429379100188E-2</v>
      </c>
      <c r="M67" s="85">
        <f t="shared" ref="M67" ca="1" si="48">IF(M66="","",IRR(M68:M83))</f>
        <v>0.10769873492159809</v>
      </c>
      <c r="N67" s="85" t="e">
        <f t="shared" ref="N67" ca="1" si="49">IF(N66="","",IRR(N68:N83))</f>
        <v>#VALUE!</v>
      </c>
      <c r="O67" s="85" t="str">
        <f t="shared" ref="O67" si="50">IF(O66="","",IRR(O68:O83))</f>
        <v/>
      </c>
      <c r="P67" s="85" t="str">
        <f t="shared" ref="P67" si="51">IF(P66="","",IRR(P68:P83))</f>
        <v/>
      </c>
      <c r="Q67" s="85" t="str">
        <f t="shared" ref="Q67" si="52">IF(Q66="","",IRR(Q68:Q83))</f>
        <v/>
      </c>
      <c r="R67" s="85" t="str">
        <f t="shared" ref="R67" si="53">IF(R66="","",IRR(R68:R83))</f>
        <v/>
      </c>
    </row>
    <row r="68" spans="2:18" hidden="1" outlineLevel="1" x14ac:dyDescent="0.25">
      <c r="B68" s="84">
        <v>0</v>
      </c>
      <c r="D68" s="68">
        <f>IF(D66="","",-(Equity+(-SUMIF($D$34:D34,"&lt;0"))))</f>
        <v>-5554263.7662259005</v>
      </c>
      <c r="E68" s="68">
        <f>IF(E66="","",-(Equity+(-SUMIF($D$34:E34,"&lt;0"))))</f>
        <v>-5554263.7662259005</v>
      </c>
      <c r="F68" s="68">
        <f>IF(F66="","",-(Equity+(-SUMIF($D$34:F34,"&lt;0"))))</f>
        <v>-5554263.7662259005</v>
      </c>
      <c r="G68" s="68">
        <f>IF(G66="","",-(Equity+(-SUMIF($D$34:G34,"&lt;0"))))</f>
        <v>-5554263.7662259005</v>
      </c>
      <c r="H68" s="68">
        <f>IF(H66="","",-(Equity+(-SUMIF($D$34:H34,"&lt;0"))))</f>
        <v>-5658753.5580389369</v>
      </c>
      <c r="I68" s="68">
        <f>IF(I66="","",-(Equity+(-SUMIF($D$34:I34,"&lt;0"))))</f>
        <v>-5658753.5580389369</v>
      </c>
      <c r="J68" s="68">
        <f>IF(J66="","",-(Equity+(-SUMIF($D$34:J34,"&lt;0"))))</f>
        <v>-5658753.5580389369</v>
      </c>
      <c r="K68" s="68">
        <f>IF(K66="","",-(Equity+(-SUMIF($D$34:K34,"&lt;0"))))</f>
        <v>-5658753.5580389369</v>
      </c>
      <c r="L68" s="68">
        <f>IF(L66="","",-(Equity+(-SUMIF($D$34:L34,"&lt;0"))))</f>
        <v>-5658753.5580389369</v>
      </c>
      <c r="M68" s="68">
        <f>IF(M66="","",-(Equity+(-SUMIF($D$34:M34,"&lt;0"))))</f>
        <v>-5658753.5580389369</v>
      </c>
      <c r="N68" s="68">
        <f>IF(N66="","",-(Equity+(-SUMIF($D$34:N34,"&lt;0"))))</f>
        <v>-5658753.5580389369</v>
      </c>
      <c r="O68" s="68" t="str">
        <f>IF(O66="","",-(Equity+(-SUMIF($D$34:O34,"&lt;0"))))</f>
        <v/>
      </c>
      <c r="P68" s="68" t="str">
        <f>IF(P66="","",-(Equity+(-SUMIF($D$34:P34,"&lt;0"))))</f>
        <v/>
      </c>
      <c r="Q68" s="68" t="str">
        <f>IF(Q66="","",-(Equity+(-SUMIF($D$34:Q34,"&lt;0"))))</f>
        <v/>
      </c>
      <c r="R68" s="68" t="str">
        <f>IF(R66="","",-(Equity+(-SUMIF($D$34:R34,"&lt;0"))))</f>
        <v/>
      </c>
    </row>
    <row r="69" spans="2:18" hidden="1" outlineLevel="1" x14ac:dyDescent="0.25">
      <c r="B69" s="53">
        <f>B68+1</f>
        <v>1</v>
      </c>
      <c r="D69" s="86">
        <f ca="1">IF($B69&gt;D$46,"",IF(D$46="","",IF(D$46=$B69,OFFSET($D$34,0,$B68)+OFFSET($D$31,0,$B68),OFFSET($D$34,0,$B68))))</f>
        <v>6671299.5769526996</v>
      </c>
      <c r="E69" s="86">
        <f t="shared" ref="E69:R69" ca="1" si="54">IF($B69&gt;E$46,"",IF(E$46="","",IF(E$46=$B69,OFFSET($D$34,0,$B68)+OFFSET($D$31,0,$B68),OFFSET($D$34,0,$B68))))</f>
        <v>455470</v>
      </c>
      <c r="F69" s="86">
        <f t="shared" ca="1" si="54"/>
        <v>455470</v>
      </c>
      <c r="G69" s="86">
        <f t="shared" ca="1" si="54"/>
        <v>455470</v>
      </c>
      <c r="H69" s="86">
        <f t="shared" ca="1" si="54"/>
        <v>455470</v>
      </c>
      <c r="I69" s="86">
        <f t="shared" ca="1" si="54"/>
        <v>455470</v>
      </c>
      <c r="J69" s="86">
        <f t="shared" ca="1" si="54"/>
        <v>455470</v>
      </c>
      <c r="K69" s="86">
        <f t="shared" ca="1" si="54"/>
        <v>455470</v>
      </c>
      <c r="L69" s="86">
        <f t="shared" ca="1" si="54"/>
        <v>455470</v>
      </c>
      <c r="M69" s="86">
        <f t="shared" ca="1" si="54"/>
        <v>455470</v>
      </c>
      <c r="N69" s="86">
        <f t="shared" ca="1" si="54"/>
        <v>455470</v>
      </c>
      <c r="O69" s="86" t="str">
        <f t="shared" ca="1" si="54"/>
        <v/>
      </c>
      <c r="P69" s="86" t="str">
        <f t="shared" ca="1" si="54"/>
        <v/>
      </c>
      <c r="Q69" s="86" t="str">
        <f t="shared" ca="1" si="54"/>
        <v/>
      </c>
      <c r="R69" s="86" t="str">
        <f t="shared" ca="1" si="54"/>
        <v/>
      </c>
    </row>
    <row r="70" spans="2:18" hidden="1" outlineLevel="1" x14ac:dyDescent="0.25">
      <c r="B70" s="53">
        <f t="shared" ref="B70:B83" si="55">B69+1</f>
        <v>2</v>
      </c>
      <c r="D70" s="86" t="str">
        <f t="shared" ref="D70:D83" ca="1" si="56">IF($B70&gt;D$46,"",IF(D$46="","",IF(D$46=$B70,OFFSET($D$34,0,$B69)+OFFSET($D$31,0,$B69),OFFSET($D$34,0,$B69))))</f>
        <v/>
      </c>
      <c r="E70" s="86">
        <f t="shared" ref="E70:E83" ca="1" si="57">IF($B70&gt;E$46,"",IF(E$46="","",IF(E$46=$B70,OFFSET($D$34,0,$B69)+OFFSET($D$31,0,$B69),OFFSET($D$34,0,$B69))))</f>
        <v>6910857.0564228985</v>
      </c>
      <c r="F70" s="86">
        <f t="shared" ref="F70:F83" ca="1" si="58">IF($B70&gt;F$46,"",IF(F$46="","",IF(F$46=$B70,OFFSET($D$34,0,$B69)+OFFSET($D$31,0,$B69),OFFSET($D$34,0,$B69))))</f>
        <v>493535.39999999991</v>
      </c>
      <c r="G70" s="86">
        <f t="shared" ref="G70:G83" ca="1" si="59">IF($B70&gt;G$46,"",IF(G$46="","",IF(G$46=$B70,OFFSET($D$34,0,$B69)+OFFSET($D$31,0,$B69),OFFSET($D$34,0,$B69))))</f>
        <v>493535.39999999991</v>
      </c>
      <c r="H70" s="86">
        <f t="shared" ref="H70:H83" ca="1" si="60">IF($B70&gt;H$46,"",IF(H$46="","",IF(H$46=$B70,OFFSET($D$34,0,$B69)+OFFSET($D$31,0,$B69),OFFSET($D$34,0,$B69))))</f>
        <v>493535.39999999991</v>
      </c>
      <c r="I70" s="86">
        <f t="shared" ref="I70:I83" ca="1" si="61">IF($B70&gt;I$46,"",IF(I$46="","",IF(I$46=$B70,OFFSET($D$34,0,$B69)+OFFSET($D$31,0,$B69),OFFSET($D$34,0,$B69))))</f>
        <v>493535.39999999991</v>
      </c>
      <c r="J70" s="86">
        <f t="shared" ref="J70:J83" ca="1" si="62">IF($B70&gt;J$46,"",IF(J$46="","",IF(J$46=$B70,OFFSET($D$34,0,$B69)+OFFSET($D$31,0,$B69),OFFSET($D$34,0,$B69))))</f>
        <v>493535.39999999991</v>
      </c>
      <c r="K70" s="86">
        <f t="shared" ref="K70:K83" ca="1" si="63">IF($B70&gt;K$46,"",IF(K$46="","",IF(K$46=$B70,OFFSET($D$34,0,$B69)+OFFSET($D$31,0,$B69),OFFSET($D$34,0,$B69))))</f>
        <v>493535.39999999991</v>
      </c>
      <c r="L70" s="86">
        <f t="shared" ref="L70:L83" ca="1" si="64">IF($B70&gt;L$46,"",IF(L$46="","",IF(L$46=$B70,OFFSET($D$34,0,$B69)+OFFSET($D$31,0,$B69),OFFSET($D$34,0,$B69))))</f>
        <v>493535.39999999991</v>
      </c>
      <c r="M70" s="86">
        <f t="shared" ref="M70:M83" ca="1" si="65">IF($B70&gt;M$46,"",IF(M$46="","",IF(M$46=$B70,OFFSET($D$34,0,$B69)+OFFSET($D$31,0,$B69),OFFSET($D$34,0,$B69))))</f>
        <v>493535.39999999991</v>
      </c>
      <c r="N70" s="86">
        <f t="shared" ref="N70:N83" ca="1" si="66">IF($B70&gt;N$46,"",IF(N$46="","",IF(N$46=$B70,OFFSET($D$34,0,$B69)+OFFSET($D$31,0,$B69),OFFSET($D$34,0,$B69))))</f>
        <v>493535.39999999991</v>
      </c>
      <c r="O70" s="86" t="str">
        <f t="shared" ref="O70:O83" ca="1" si="67">IF($B70&gt;O$46,"",IF(O$46="","",IF(O$46=$B70,OFFSET($D$34,0,$B69)+OFFSET($D$31,0,$B69),OFFSET($D$34,0,$B69))))</f>
        <v/>
      </c>
      <c r="P70" s="86" t="str">
        <f t="shared" ref="P70:P83" ca="1" si="68">IF($B70&gt;P$46,"",IF(P$46="","",IF(P$46=$B70,OFFSET($D$34,0,$B69)+OFFSET($D$31,0,$B69),OFFSET($D$34,0,$B69))))</f>
        <v/>
      </c>
      <c r="Q70" s="86" t="str">
        <f t="shared" ref="Q70:Q83" ca="1" si="69">IF($B70&gt;Q$46,"",IF(Q$46="","",IF(Q$46=$B70,OFFSET($D$34,0,$B69)+OFFSET($D$31,0,$B69),OFFSET($D$34,0,$B69))))</f>
        <v/>
      </c>
      <c r="R70" s="86" t="str">
        <f t="shared" ref="R70:R83" ca="1" si="70">IF($B70&gt;R$46,"",IF(R$46="","",IF(R$46=$B70,OFFSET($D$34,0,$B69)+OFFSET($D$31,0,$B69),OFFSET($D$34,0,$B69))))</f>
        <v/>
      </c>
    </row>
    <row r="71" spans="2:18" hidden="1" outlineLevel="1" x14ac:dyDescent="0.25">
      <c r="B71" s="53">
        <f t="shared" si="55"/>
        <v>3</v>
      </c>
      <c r="D71" s="86" t="str">
        <f t="shared" ca="1" si="56"/>
        <v/>
      </c>
      <c r="E71" s="86" t="str">
        <f t="shared" ca="1" si="57"/>
        <v/>
      </c>
      <c r="F71" s="86">
        <f t="shared" ca="1" si="58"/>
        <v>7134735.8065316463</v>
      </c>
      <c r="G71" s="86">
        <f t="shared" ca="1" si="59"/>
        <v>512568.28799999994</v>
      </c>
      <c r="H71" s="86">
        <f t="shared" ca="1" si="60"/>
        <v>512568.28799999994</v>
      </c>
      <c r="I71" s="86">
        <f t="shared" ca="1" si="61"/>
        <v>512568.28799999994</v>
      </c>
      <c r="J71" s="86">
        <f t="shared" ca="1" si="62"/>
        <v>512568.28799999994</v>
      </c>
      <c r="K71" s="86">
        <f t="shared" ca="1" si="63"/>
        <v>512568.28799999994</v>
      </c>
      <c r="L71" s="86">
        <f t="shared" ca="1" si="64"/>
        <v>512568.28799999994</v>
      </c>
      <c r="M71" s="86">
        <f t="shared" ca="1" si="65"/>
        <v>512568.28799999994</v>
      </c>
      <c r="N71" s="86">
        <f t="shared" ca="1" si="66"/>
        <v>512568.28799999994</v>
      </c>
      <c r="O71" s="86" t="str">
        <f t="shared" ca="1" si="67"/>
        <v/>
      </c>
      <c r="P71" s="86" t="str">
        <f t="shared" ca="1" si="68"/>
        <v/>
      </c>
      <c r="Q71" s="86" t="str">
        <f t="shared" ca="1" si="69"/>
        <v/>
      </c>
      <c r="R71" s="86" t="str">
        <f t="shared" ca="1" si="70"/>
        <v/>
      </c>
    </row>
    <row r="72" spans="2:18" hidden="1" outlineLevel="1" x14ac:dyDescent="0.25">
      <c r="B72" s="53">
        <f t="shared" si="55"/>
        <v>4</v>
      </c>
      <c r="D72" s="86" t="str">
        <f t="shared" ca="1" si="56"/>
        <v/>
      </c>
      <c r="E72" s="86" t="str">
        <f t="shared" ca="1" si="57"/>
        <v/>
      </c>
      <c r="F72" s="86" t="str">
        <f t="shared" ca="1" si="58"/>
        <v/>
      </c>
      <c r="G72" s="86">
        <f t="shared" ca="1" si="59"/>
        <v>1087372.5268561477</v>
      </c>
      <c r="H72" s="86">
        <f t="shared" ca="1" si="60"/>
        <v>360720.32425776392</v>
      </c>
      <c r="I72" s="86">
        <f t="shared" ca="1" si="61"/>
        <v>360720.32425776392</v>
      </c>
      <c r="J72" s="86">
        <f t="shared" ca="1" si="62"/>
        <v>360720.32425776392</v>
      </c>
      <c r="K72" s="86">
        <f t="shared" ca="1" si="63"/>
        <v>360720.32425776392</v>
      </c>
      <c r="L72" s="86">
        <f t="shared" ca="1" si="64"/>
        <v>360720.32425776392</v>
      </c>
      <c r="M72" s="86">
        <f t="shared" ca="1" si="65"/>
        <v>360720.32425776392</v>
      </c>
      <c r="N72" s="86">
        <f t="shared" ca="1" si="66"/>
        <v>360720.32425776392</v>
      </c>
      <c r="O72" s="86" t="str">
        <f t="shared" ca="1" si="67"/>
        <v/>
      </c>
      <c r="P72" s="86" t="str">
        <f t="shared" ca="1" si="68"/>
        <v/>
      </c>
      <c r="Q72" s="86" t="str">
        <f t="shared" ca="1" si="69"/>
        <v/>
      </c>
      <c r="R72" s="86" t="str">
        <f t="shared" ca="1" si="70"/>
        <v/>
      </c>
    </row>
    <row r="73" spans="2:18" hidden="1" outlineLevel="1" x14ac:dyDescent="0.25">
      <c r="B73" s="53">
        <f t="shared" si="55"/>
        <v>5</v>
      </c>
      <c r="D73" s="86" t="str">
        <f t="shared" ca="1" si="56"/>
        <v/>
      </c>
      <c r="E73" s="86" t="str">
        <f t="shared" ca="1" si="57"/>
        <v/>
      </c>
      <c r="F73" s="86" t="str">
        <f t="shared" ca="1" si="58"/>
        <v/>
      </c>
      <c r="G73" s="86" t="str">
        <f t="shared" ca="1" si="59"/>
        <v/>
      </c>
      <c r="H73" s="86">
        <f t="shared" ca="1" si="60"/>
        <v>7323746.6060410887</v>
      </c>
      <c r="I73" s="86">
        <f t="shared" ca="1" si="61"/>
        <v>-104489.79181303643</v>
      </c>
      <c r="J73" s="86">
        <f t="shared" ca="1" si="62"/>
        <v>-104489.79181303643</v>
      </c>
      <c r="K73" s="86">
        <f t="shared" ca="1" si="63"/>
        <v>-104489.79181303643</v>
      </c>
      <c r="L73" s="86">
        <f t="shared" ca="1" si="64"/>
        <v>-104489.79181303643</v>
      </c>
      <c r="M73" s="86">
        <f t="shared" ca="1" si="65"/>
        <v>-104489.79181303643</v>
      </c>
      <c r="N73" s="86">
        <f t="shared" ca="1" si="66"/>
        <v>-104489.79181303643</v>
      </c>
      <c r="O73" s="86" t="str">
        <f t="shared" ca="1" si="67"/>
        <v/>
      </c>
      <c r="P73" s="86" t="str">
        <f t="shared" ca="1" si="68"/>
        <v/>
      </c>
      <c r="Q73" s="86" t="str">
        <f t="shared" ca="1" si="69"/>
        <v/>
      </c>
      <c r="R73" s="86" t="str">
        <f t="shared" ca="1" si="70"/>
        <v/>
      </c>
    </row>
    <row r="74" spans="2:18" hidden="1" outlineLevel="1" x14ac:dyDescent="0.25">
      <c r="B74" s="53">
        <f t="shared" si="55"/>
        <v>6</v>
      </c>
      <c r="D74" s="86" t="str">
        <f t="shared" ca="1" si="56"/>
        <v/>
      </c>
      <c r="E74" s="86" t="str">
        <f t="shared" ca="1" si="57"/>
        <v/>
      </c>
      <c r="F74" s="86" t="str">
        <f t="shared" ca="1" si="58"/>
        <v/>
      </c>
      <c r="G74" s="86" t="str">
        <f t="shared" ca="1" si="59"/>
        <v/>
      </c>
      <c r="H74" s="86" t="str">
        <f t="shared" ca="1" si="60"/>
        <v/>
      </c>
      <c r="I74" s="86">
        <f t="shared" ca="1" si="61"/>
        <v>8201656.3995474298</v>
      </c>
      <c r="J74" s="86">
        <f t="shared" ca="1" si="62"/>
        <v>400689.89344292833</v>
      </c>
      <c r="K74" s="86">
        <f t="shared" ca="1" si="63"/>
        <v>400689.89344292833</v>
      </c>
      <c r="L74" s="86">
        <f t="shared" ca="1" si="64"/>
        <v>400689.89344292833</v>
      </c>
      <c r="M74" s="86">
        <f t="shared" ca="1" si="65"/>
        <v>400689.89344292833</v>
      </c>
      <c r="N74" s="86">
        <f t="shared" ca="1" si="66"/>
        <v>400689.89344292833</v>
      </c>
      <c r="O74" s="86" t="str">
        <f t="shared" ca="1" si="67"/>
        <v/>
      </c>
      <c r="P74" s="86" t="str">
        <f t="shared" ca="1" si="68"/>
        <v/>
      </c>
      <c r="Q74" s="86" t="str">
        <f t="shared" ca="1" si="69"/>
        <v/>
      </c>
      <c r="R74" s="86" t="str">
        <f t="shared" ca="1" si="70"/>
        <v/>
      </c>
    </row>
    <row r="75" spans="2:18" hidden="1" outlineLevel="1" x14ac:dyDescent="0.25">
      <c r="B75" s="53">
        <f t="shared" si="55"/>
        <v>7</v>
      </c>
      <c r="D75" s="86" t="str">
        <f t="shared" ca="1" si="56"/>
        <v/>
      </c>
      <c r="E75" s="86" t="str">
        <f t="shared" ca="1" si="57"/>
        <v/>
      </c>
      <c r="F75" s="86" t="str">
        <f t="shared" ca="1" si="58"/>
        <v/>
      </c>
      <c r="G75" s="86" t="str">
        <f t="shared" ca="1" si="59"/>
        <v/>
      </c>
      <c r="H75" s="86" t="str">
        <f t="shared" ca="1" si="60"/>
        <v/>
      </c>
      <c r="I75" s="86" t="str">
        <f t="shared" ca="1" si="61"/>
        <v/>
      </c>
      <c r="J75" s="86">
        <f t="shared" ca="1" si="62"/>
        <v>8606409.6919968855</v>
      </c>
      <c r="K75" s="86">
        <f t="shared" ca="1" si="63"/>
        <v>421267.11608867324</v>
      </c>
      <c r="L75" s="86">
        <f t="shared" ca="1" si="64"/>
        <v>421267.11608867324</v>
      </c>
      <c r="M75" s="86">
        <f t="shared" ca="1" si="65"/>
        <v>421267.11608867324</v>
      </c>
      <c r="N75" s="86">
        <f t="shared" ca="1" si="66"/>
        <v>421267.11608867324</v>
      </c>
      <c r="O75" s="86" t="str">
        <f t="shared" ca="1" si="67"/>
        <v/>
      </c>
      <c r="P75" s="86" t="str">
        <f t="shared" ca="1" si="68"/>
        <v/>
      </c>
      <c r="Q75" s="86" t="str">
        <f t="shared" ca="1" si="69"/>
        <v/>
      </c>
      <c r="R75" s="86" t="str">
        <f t="shared" ca="1" si="70"/>
        <v/>
      </c>
    </row>
    <row r="76" spans="2:18" hidden="1" outlineLevel="1" x14ac:dyDescent="0.25">
      <c r="B76" s="53">
        <f t="shared" si="55"/>
        <v>8</v>
      </c>
      <c r="D76" s="86" t="str">
        <f t="shared" ca="1" si="56"/>
        <v/>
      </c>
      <c r="E76" s="86" t="str">
        <f t="shared" ca="1" si="57"/>
        <v/>
      </c>
      <c r="F76" s="86" t="str">
        <f t="shared" ca="1" si="58"/>
        <v/>
      </c>
      <c r="G76" s="86" t="str">
        <f t="shared" ca="1" si="59"/>
        <v/>
      </c>
      <c r="H76" s="86" t="str">
        <f t="shared" ca="1" si="60"/>
        <v/>
      </c>
      <c r="I76" s="86" t="str">
        <f t="shared" ca="1" si="61"/>
        <v/>
      </c>
      <c r="J76" s="86" t="str">
        <f t="shared" ca="1" si="62"/>
        <v/>
      </c>
      <c r="K76" s="86">
        <f t="shared" ca="1" si="63"/>
        <v>9023464.9144339934</v>
      </c>
      <c r="L76" s="86">
        <f t="shared" ca="1" si="64"/>
        <v>442249.76630884153</v>
      </c>
      <c r="M76" s="86">
        <f t="shared" ca="1" si="65"/>
        <v>442249.76630884153</v>
      </c>
      <c r="N76" s="86">
        <f t="shared" ca="1" si="66"/>
        <v>442249.76630884153</v>
      </c>
      <c r="O76" s="86" t="str">
        <f t="shared" ca="1" si="67"/>
        <v/>
      </c>
      <c r="P76" s="86" t="str">
        <f t="shared" ca="1" si="68"/>
        <v/>
      </c>
      <c r="Q76" s="86" t="str">
        <f t="shared" ca="1" si="69"/>
        <v/>
      </c>
      <c r="R76" s="86" t="str">
        <f t="shared" ca="1" si="70"/>
        <v/>
      </c>
    </row>
    <row r="77" spans="2:18" hidden="1" outlineLevel="1" x14ac:dyDescent="0.25">
      <c r="B77" s="53">
        <f t="shared" si="55"/>
        <v>9</v>
      </c>
      <c r="D77" s="86" t="str">
        <f t="shared" ca="1" si="56"/>
        <v/>
      </c>
      <c r="E77" s="86" t="str">
        <f t="shared" ca="1" si="57"/>
        <v/>
      </c>
      <c r="F77" s="86" t="str">
        <f t="shared" ca="1" si="58"/>
        <v/>
      </c>
      <c r="G77" s="86" t="str">
        <f t="shared" ca="1" si="59"/>
        <v/>
      </c>
      <c r="H77" s="86" t="str">
        <f t="shared" ca="1" si="60"/>
        <v/>
      </c>
      <c r="I77" s="86" t="str">
        <f t="shared" ca="1" si="61"/>
        <v/>
      </c>
      <c r="J77" s="86" t="str">
        <f t="shared" ca="1" si="62"/>
        <v/>
      </c>
      <c r="K77" s="86" t="str">
        <f t="shared" ca="1" si="63"/>
        <v/>
      </c>
      <c r="L77" s="86">
        <f t="shared" ca="1" si="64"/>
        <v>6997605.1795436684</v>
      </c>
      <c r="M77" s="86">
        <f t="shared" ca="1" si="65"/>
        <v>463645.89148613624</v>
      </c>
      <c r="N77" s="86">
        <f t="shared" ca="1" si="66"/>
        <v>463645.89148613624</v>
      </c>
      <c r="O77" s="86" t="str">
        <f t="shared" ca="1" si="67"/>
        <v/>
      </c>
      <c r="P77" s="86" t="str">
        <f t="shared" ca="1" si="68"/>
        <v/>
      </c>
      <c r="Q77" s="86" t="str">
        <f t="shared" ca="1" si="69"/>
        <v/>
      </c>
      <c r="R77" s="86" t="str">
        <f t="shared" ca="1" si="70"/>
        <v/>
      </c>
    </row>
    <row r="78" spans="2:18" hidden="1" outlineLevel="1" x14ac:dyDescent="0.25">
      <c r="B78" s="53">
        <f t="shared" si="55"/>
        <v>10</v>
      </c>
      <c r="D78" s="86" t="str">
        <f t="shared" ca="1" si="56"/>
        <v/>
      </c>
      <c r="E78" s="86" t="str">
        <f t="shared" ca="1" si="57"/>
        <v/>
      </c>
      <c r="F78" s="86" t="str">
        <f t="shared" ca="1" si="58"/>
        <v/>
      </c>
      <c r="G78" s="86" t="str">
        <f t="shared" ca="1" si="59"/>
        <v/>
      </c>
      <c r="H78" s="86" t="str">
        <f t="shared" ca="1" si="60"/>
        <v/>
      </c>
      <c r="I78" s="86" t="str">
        <f t="shared" ca="1" si="61"/>
        <v/>
      </c>
      <c r="J78" s="86" t="str">
        <f t="shared" ca="1" si="62"/>
        <v/>
      </c>
      <c r="K78" s="86" t="str">
        <f t="shared" ca="1" si="63"/>
        <v/>
      </c>
      <c r="L78" s="86" t="str">
        <f t="shared" ca="1" si="64"/>
        <v/>
      </c>
      <c r="M78" s="86">
        <f t="shared" ca="1" si="65"/>
        <v>9702420.2983047292</v>
      </c>
      <c r="N78" s="86">
        <f t="shared" ca="1" si="66"/>
        <v>291463.69933922903</v>
      </c>
      <c r="O78" s="86" t="str">
        <f t="shared" ca="1" si="67"/>
        <v/>
      </c>
      <c r="P78" s="86" t="str">
        <f t="shared" ca="1" si="68"/>
        <v/>
      </c>
      <c r="Q78" s="86" t="str">
        <f t="shared" ca="1" si="69"/>
        <v/>
      </c>
      <c r="R78" s="86" t="str">
        <f t="shared" ca="1" si="70"/>
        <v/>
      </c>
    </row>
    <row r="79" spans="2:18" hidden="1" outlineLevel="1" x14ac:dyDescent="0.25">
      <c r="B79" s="53">
        <f t="shared" si="55"/>
        <v>11</v>
      </c>
      <c r="D79" s="86" t="str">
        <f t="shared" ca="1" si="56"/>
        <v/>
      </c>
      <c r="E79" s="86" t="str">
        <f t="shared" ca="1" si="57"/>
        <v/>
      </c>
      <c r="F79" s="86" t="str">
        <f t="shared" ca="1" si="58"/>
        <v/>
      </c>
      <c r="G79" s="86" t="str">
        <f t="shared" ca="1" si="59"/>
        <v/>
      </c>
      <c r="H79" s="86" t="str">
        <f t="shared" ca="1" si="60"/>
        <v/>
      </c>
      <c r="I79" s="86" t="str">
        <f t="shared" ca="1" si="61"/>
        <v/>
      </c>
      <c r="J79" s="86" t="str">
        <f t="shared" ca="1" si="62"/>
        <v/>
      </c>
      <c r="K79" s="86" t="str">
        <f t="shared" ca="1" si="63"/>
        <v/>
      </c>
      <c r="L79" s="86" t="str">
        <f t="shared" ca="1" si="64"/>
        <v/>
      </c>
      <c r="M79" s="86" t="str">
        <f t="shared" ca="1" si="65"/>
        <v/>
      </c>
      <c r="N79" s="86" t="e">
        <f t="shared" ca="1" si="66"/>
        <v>#VALUE!</v>
      </c>
      <c r="O79" s="86" t="str">
        <f t="shared" ca="1" si="67"/>
        <v/>
      </c>
      <c r="P79" s="86" t="str">
        <f t="shared" ca="1" si="68"/>
        <v/>
      </c>
      <c r="Q79" s="86" t="str">
        <f t="shared" ca="1" si="69"/>
        <v/>
      </c>
      <c r="R79" s="86" t="str">
        <f t="shared" ca="1" si="70"/>
        <v/>
      </c>
    </row>
    <row r="80" spans="2:18" hidden="1" outlineLevel="1" x14ac:dyDescent="0.25">
      <c r="B80" s="53">
        <f t="shared" si="55"/>
        <v>12</v>
      </c>
      <c r="D80" s="86" t="str">
        <f t="shared" ca="1" si="56"/>
        <v/>
      </c>
      <c r="E80" s="86" t="str">
        <f t="shared" ca="1" si="57"/>
        <v/>
      </c>
      <c r="F80" s="86" t="str">
        <f t="shared" ca="1" si="58"/>
        <v/>
      </c>
      <c r="G80" s="86" t="str">
        <f t="shared" ca="1" si="59"/>
        <v/>
      </c>
      <c r="H80" s="86" t="str">
        <f t="shared" ca="1" si="60"/>
        <v/>
      </c>
      <c r="I80" s="86" t="str">
        <f t="shared" ca="1" si="61"/>
        <v/>
      </c>
      <c r="J80" s="86" t="str">
        <f t="shared" ca="1" si="62"/>
        <v/>
      </c>
      <c r="K80" s="86" t="str">
        <f t="shared" ca="1" si="63"/>
        <v/>
      </c>
      <c r="L80" s="86" t="str">
        <f t="shared" ca="1" si="64"/>
        <v/>
      </c>
      <c r="M80" s="86" t="str">
        <f t="shared" ca="1" si="65"/>
        <v/>
      </c>
      <c r="N80" s="86" t="str">
        <f t="shared" ca="1" si="66"/>
        <v/>
      </c>
      <c r="O80" s="86" t="str">
        <f t="shared" ca="1" si="67"/>
        <v/>
      </c>
      <c r="P80" s="86" t="str">
        <f t="shared" ca="1" si="68"/>
        <v/>
      </c>
      <c r="Q80" s="86" t="str">
        <f t="shared" ca="1" si="69"/>
        <v/>
      </c>
      <c r="R80" s="86" t="str">
        <f t="shared" ca="1" si="70"/>
        <v/>
      </c>
    </row>
    <row r="81" spans="2:18" hidden="1" outlineLevel="1" x14ac:dyDescent="0.25">
      <c r="B81" s="53">
        <f t="shared" si="55"/>
        <v>13</v>
      </c>
      <c r="D81" s="86" t="str">
        <f t="shared" ca="1" si="56"/>
        <v/>
      </c>
      <c r="E81" s="86" t="str">
        <f t="shared" ca="1" si="57"/>
        <v/>
      </c>
      <c r="F81" s="86" t="str">
        <f t="shared" ca="1" si="58"/>
        <v/>
      </c>
      <c r="G81" s="86" t="str">
        <f t="shared" ca="1" si="59"/>
        <v/>
      </c>
      <c r="H81" s="86" t="str">
        <f t="shared" ca="1" si="60"/>
        <v/>
      </c>
      <c r="I81" s="86" t="str">
        <f t="shared" ca="1" si="61"/>
        <v/>
      </c>
      <c r="J81" s="86" t="str">
        <f t="shared" ca="1" si="62"/>
        <v/>
      </c>
      <c r="K81" s="86" t="str">
        <f t="shared" ca="1" si="63"/>
        <v/>
      </c>
      <c r="L81" s="86" t="str">
        <f t="shared" ca="1" si="64"/>
        <v/>
      </c>
      <c r="M81" s="86" t="str">
        <f t="shared" ca="1" si="65"/>
        <v/>
      </c>
      <c r="N81" s="86" t="str">
        <f t="shared" ca="1" si="66"/>
        <v/>
      </c>
      <c r="O81" s="86" t="str">
        <f t="shared" ca="1" si="67"/>
        <v/>
      </c>
      <c r="P81" s="86" t="str">
        <f t="shared" ca="1" si="68"/>
        <v/>
      </c>
      <c r="Q81" s="86" t="str">
        <f t="shared" ca="1" si="69"/>
        <v/>
      </c>
      <c r="R81" s="86" t="str">
        <f t="shared" ca="1" si="70"/>
        <v/>
      </c>
    </row>
    <row r="82" spans="2:18" hidden="1" outlineLevel="1" x14ac:dyDescent="0.25">
      <c r="B82" s="53">
        <f t="shared" si="55"/>
        <v>14</v>
      </c>
      <c r="D82" s="86" t="str">
        <f t="shared" ca="1" si="56"/>
        <v/>
      </c>
      <c r="E82" s="86" t="str">
        <f t="shared" ca="1" si="57"/>
        <v/>
      </c>
      <c r="F82" s="86" t="str">
        <f t="shared" ca="1" si="58"/>
        <v/>
      </c>
      <c r="G82" s="86" t="str">
        <f t="shared" ca="1" si="59"/>
        <v/>
      </c>
      <c r="H82" s="86" t="str">
        <f t="shared" ca="1" si="60"/>
        <v/>
      </c>
      <c r="I82" s="86" t="str">
        <f t="shared" ca="1" si="61"/>
        <v/>
      </c>
      <c r="J82" s="86" t="str">
        <f t="shared" ca="1" si="62"/>
        <v/>
      </c>
      <c r="K82" s="86" t="str">
        <f t="shared" ca="1" si="63"/>
        <v/>
      </c>
      <c r="L82" s="86" t="str">
        <f t="shared" ca="1" si="64"/>
        <v/>
      </c>
      <c r="M82" s="86" t="str">
        <f t="shared" ca="1" si="65"/>
        <v/>
      </c>
      <c r="N82" s="86" t="str">
        <f t="shared" ca="1" si="66"/>
        <v/>
      </c>
      <c r="O82" s="86" t="str">
        <f t="shared" ca="1" si="67"/>
        <v/>
      </c>
      <c r="P82" s="86" t="str">
        <f t="shared" ca="1" si="68"/>
        <v/>
      </c>
      <c r="Q82" s="86" t="str">
        <f t="shared" ca="1" si="69"/>
        <v/>
      </c>
      <c r="R82" s="86" t="str">
        <f t="shared" ca="1" si="70"/>
        <v/>
      </c>
    </row>
    <row r="83" spans="2:18" hidden="1" outlineLevel="1" x14ac:dyDescent="0.25">
      <c r="B83" s="53">
        <f t="shared" si="55"/>
        <v>15</v>
      </c>
      <c r="D83" s="86" t="str">
        <f t="shared" ca="1" si="56"/>
        <v/>
      </c>
      <c r="E83" s="86" t="str">
        <f t="shared" ca="1" si="57"/>
        <v/>
      </c>
      <c r="F83" s="86" t="str">
        <f t="shared" ca="1" si="58"/>
        <v/>
      </c>
      <c r="G83" s="86" t="str">
        <f t="shared" ca="1" si="59"/>
        <v/>
      </c>
      <c r="H83" s="86" t="str">
        <f t="shared" ca="1" si="60"/>
        <v/>
      </c>
      <c r="I83" s="86" t="str">
        <f t="shared" ca="1" si="61"/>
        <v/>
      </c>
      <c r="J83" s="86" t="str">
        <f t="shared" ca="1" si="62"/>
        <v/>
      </c>
      <c r="K83" s="86" t="str">
        <f t="shared" ca="1" si="63"/>
        <v/>
      </c>
      <c r="L83" s="86" t="str">
        <f t="shared" ca="1" si="64"/>
        <v/>
      </c>
      <c r="M83" s="86" t="str">
        <f t="shared" ca="1" si="65"/>
        <v/>
      </c>
      <c r="N83" s="86" t="str">
        <f t="shared" ca="1" si="66"/>
        <v/>
      </c>
      <c r="O83" s="86" t="str">
        <f t="shared" ca="1" si="67"/>
        <v/>
      </c>
      <c r="P83" s="86" t="str">
        <f t="shared" ca="1" si="68"/>
        <v/>
      </c>
      <c r="Q83" s="86" t="str">
        <f t="shared" ca="1" si="69"/>
        <v/>
      </c>
      <c r="R83" s="86" t="str">
        <f t="shared" ca="1" si="70"/>
        <v/>
      </c>
    </row>
    <row r="84" spans="2:18" collapsed="1" x14ac:dyDescent="0.25"/>
  </sheetData>
  <conditionalFormatting sqref="B4:R4">
    <cfRule type="expression" dxfId="14" priority="15">
      <formula>B4&lt;&gt;""</formula>
    </cfRule>
  </conditionalFormatting>
  <conditionalFormatting sqref="B4:R4">
    <cfRule type="expression" dxfId="13" priority="13">
      <formula>B$4&lt;&gt;""</formula>
    </cfRule>
    <cfRule type="expression" dxfId="12" priority="14">
      <formula>B$4=""</formula>
    </cfRule>
  </conditionalFormatting>
  <conditionalFormatting sqref="B2">
    <cfRule type="expression" dxfId="11" priority="12">
      <formula>B$4&lt;&gt;""</formula>
    </cfRule>
  </conditionalFormatting>
  <conditionalFormatting sqref="B4:Q4 B41:D41 B5:D9 B10:Q10 B12:Q14 B11:N11 B17:Q19 B15:N16 B21:Q40 B20:N20">
    <cfRule type="expression" dxfId="10" priority="11">
      <formula>B$4=""</formula>
    </cfRule>
  </conditionalFormatting>
  <conditionalFormatting sqref="E41:R41">
    <cfRule type="expression" dxfId="9" priority="10">
      <formula>E$4=""</formula>
    </cfRule>
  </conditionalFormatting>
  <conditionalFormatting sqref="E5:R5">
    <cfRule type="expression" dxfId="8" priority="9">
      <formula>E$4=""</formula>
    </cfRule>
  </conditionalFormatting>
  <conditionalFormatting sqref="E6:R6">
    <cfRule type="expression" dxfId="7" priority="8">
      <formula>E$4=""</formula>
    </cfRule>
  </conditionalFormatting>
  <conditionalFormatting sqref="E7:R7">
    <cfRule type="expression" dxfId="6" priority="7">
      <formula>E$4=""</formula>
    </cfRule>
  </conditionalFormatting>
  <conditionalFormatting sqref="E8:R8">
    <cfRule type="expression" dxfId="5" priority="6">
      <formula>E$4=""</formula>
    </cfRule>
  </conditionalFormatting>
  <conditionalFormatting sqref="E9:R9">
    <cfRule type="expression" dxfId="4" priority="5">
      <formula>E$4=""</formula>
    </cfRule>
  </conditionalFormatting>
  <conditionalFormatting sqref="O11:R11">
    <cfRule type="expression" dxfId="3" priority="4">
      <formula>O$4=""</formula>
    </cfRule>
  </conditionalFormatting>
  <conditionalFormatting sqref="O15:R15">
    <cfRule type="expression" dxfId="2" priority="3">
      <formula>O$4=""</formula>
    </cfRule>
  </conditionalFormatting>
  <conditionalFormatting sqref="O16:R16">
    <cfRule type="expression" dxfId="1" priority="2">
      <formula>O$4=""</formula>
    </cfRule>
  </conditionalFormatting>
  <conditionalFormatting sqref="O20:R20">
    <cfRule type="expression" dxfId="0" priority="1">
      <formula>O$4=""</formula>
    </cfRule>
  </conditionalFormatting>
  <pageMargins left="0.7" right="0.7" top="0.75" bottom="0.75" header="0.3" footer="0.3"/>
  <pageSetup scale="36" orientation="portrait" horizontalDpi="4294967294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B2:T7"/>
  <sheetViews>
    <sheetView showGridLines="0" zoomScale="85" zoomScaleNormal="85" zoomScaleSheetLayoutView="55" workbookViewId="0">
      <selection activeCell="L10" sqref="L10"/>
    </sheetView>
  </sheetViews>
  <sheetFormatPr defaultRowHeight="15" x14ac:dyDescent="0.25"/>
  <cols>
    <col min="1" max="1" width="2.85546875" style="40" customWidth="1"/>
    <col min="2" max="2" width="3.140625" style="40" bestFit="1" customWidth="1"/>
    <col min="3" max="3" width="23.85546875" style="40" customWidth="1"/>
    <col min="4" max="18" width="11.85546875" style="40" bestFit="1" customWidth="1"/>
    <col min="19" max="16384" width="9.140625" style="40"/>
  </cols>
  <sheetData>
    <row r="2" spans="2:20" ht="15.75" x14ac:dyDescent="0.25">
      <c r="B2" s="38" t="s">
        <v>41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2:20" s="44" customFormat="1" x14ac:dyDescent="0.25">
      <c r="B3" s="41"/>
      <c r="C3" s="41"/>
      <c r="D3" s="42">
        <v>1</v>
      </c>
      <c r="E3" s="42">
        <f t="shared" ref="E3:T3" si="0">IF(OR(D3="",D3=Analysis_Period),"",D3+1)</f>
        <v>2</v>
      </c>
      <c r="F3" s="42">
        <f t="shared" si="0"/>
        <v>3</v>
      </c>
      <c r="G3" s="42">
        <f t="shared" si="0"/>
        <v>4</v>
      </c>
      <c r="H3" s="42">
        <f t="shared" si="0"/>
        <v>5</v>
      </c>
      <c r="I3" s="42">
        <f t="shared" si="0"/>
        <v>6</v>
      </c>
      <c r="J3" s="42">
        <f t="shared" si="0"/>
        <v>7</v>
      </c>
      <c r="K3" s="42">
        <f t="shared" si="0"/>
        <v>8</v>
      </c>
      <c r="L3" s="42">
        <f t="shared" si="0"/>
        <v>9</v>
      </c>
      <c r="M3" s="42">
        <f t="shared" si="0"/>
        <v>10</v>
      </c>
      <c r="N3" s="42" t="str">
        <f t="shared" si="0"/>
        <v/>
      </c>
      <c r="O3" s="42" t="str">
        <f t="shared" si="0"/>
        <v/>
      </c>
      <c r="P3" s="42" t="str">
        <f t="shared" si="0"/>
        <v/>
      </c>
      <c r="Q3" s="42" t="str">
        <f t="shared" si="0"/>
        <v/>
      </c>
      <c r="R3" s="42" t="str">
        <f t="shared" si="0"/>
        <v/>
      </c>
      <c r="S3" s="43" t="str">
        <f t="shared" si="0"/>
        <v/>
      </c>
      <c r="T3" s="43" t="str">
        <f t="shared" si="0"/>
        <v/>
      </c>
    </row>
    <row r="4" spans="2:20" s="44" customFormat="1" x14ac:dyDescent="0.25">
      <c r="B4" s="41" t="s">
        <v>0</v>
      </c>
      <c r="C4" s="45" t="s">
        <v>18</v>
      </c>
      <c r="D4" s="46">
        <f>EOMONTH(Analysis_Start,11)</f>
        <v>42735</v>
      </c>
      <c r="E4" s="46">
        <f t="shared" ref="E4:R4" si="1">IF(E3="","",EOMONTH(Analysis_Start,(11*E3)+D3))</f>
        <v>43100</v>
      </c>
      <c r="F4" s="46">
        <f t="shared" si="1"/>
        <v>43465</v>
      </c>
      <c r="G4" s="46">
        <f t="shared" si="1"/>
        <v>43830</v>
      </c>
      <c r="H4" s="46">
        <f t="shared" si="1"/>
        <v>44196</v>
      </c>
      <c r="I4" s="46">
        <f t="shared" si="1"/>
        <v>44561</v>
      </c>
      <c r="J4" s="46">
        <f t="shared" si="1"/>
        <v>44926</v>
      </c>
      <c r="K4" s="46">
        <f t="shared" si="1"/>
        <v>45291</v>
      </c>
      <c r="L4" s="46">
        <f t="shared" si="1"/>
        <v>45657</v>
      </c>
      <c r="M4" s="46">
        <f t="shared" si="1"/>
        <v>46022</v>
      </c>
      <c r="N4" s="46" t="str">
        <f t="shared" si="1"/>
        <v/>
      </c>
      <c r="O4" s="46" t="str">
        <f t="shared" si="1"/>
        <v/>
      </c>
      <c r="P4" s="46" t="str">
        <f t="shared" si="1"/>
        <v/>
      </c>
      <c r="Q4" s="46" t="str">
        <f t="shared" si="1"/>
        <v/>
      </c>
      <c r="R4" s="46" t="str">
        <f t="shared" si="1"/>
        <v/>
      </c>
    </row>
    <row r="5" spans="2:20" collapsed="1" x14ac:dyDescent="0.25">
      <c r="B5" s="47" t="s">
        <v>19</v>
      </c>
      <c r="C5" s="48" t="str">
        <f>'Property Assumptions'!C5</f>
        <v>Hiland Office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50"/>
      <c r="P5" s="50"/>
      <c r="Q5" s="50"/>
      <c r="R5" s="50"/>
    </row>
    <row r="6" spans="2:20" x14ac:dyDescent="0.25">
      <c r="B6" s="39"/>
      <c r="C6" s="51" t="s">
        <v>33</v>
      </c>
      <c r="D6" s="52">
        <f t="shared" ref="D6:R6" si="2">IF(D4="","",IF(VLOOKUP($C5,P_List_Table_2,14,FALSE)&lt;D$3,VLOOKUP($C5,P_List_Table_2,11,FALSE),VLOOKUP($C5,P_List_Table_2,12,FALSE)))</f>
        <v>487500</v>
      </c>
      <c r="E6" s="52">
        <f t="shared" si="2"/>
        <v>487500</v>
      </c>
      <c r="F6" s="52">
        <f t="shared" si="2"/>
        <v>487500</v>
      </c>
      <c r="G6" s="52">
        <f t="shared" si="2"/>
        <v>658755.63130223611</v>
      </c>
      <c r="H6" s="52">
        <f t="shared" si="2"/>
        <v>658755.63130223611</v>
      </c>
      <c r="I6" s="52">
        <f t="shared" si="2"/>
        <v>658755.63130223611</v>
      </c>
      <c r="J6" s="52">
        <f t="shared" si="2"/>
        <v>658755.63130223611</v>
      </c>
      <c r="K6" s="52">
        <f t="shared" si="2"/>
        <v>658755.63130223611</v>
      </c>
      <c r="L6" s="52">
        <f t="shared" si="2"/>
        <v>658755.63130223611</v>
      </c>
      <c r="M6" s="52">
        <f t="shared" si="2"/>
        <v>658755.63130223611</v>
      </c>
      <c r="N6" s="52" t="str">
        <f t="shared" si="2"/>
        <v/>
      </c>
      <c r="O6" s="52" t="str">
        <f t="shared" si="2"/>
        <v/>
      </c>
      <c r="P6" s="52" t="str">
        <f t="shared" si="2"/>
        <v/>
      </c>
      <c r="Q6" s="52" t="str">
        <f t="shared" si="2"/>
        <v/>
      </c>
      <c r="R6" s="52" t="str">
        <f t="shared" si="2"/>
        <v/>
      </c>
    </row>
    <row r="7" spans="2:20" x14ac:dyDescent="0.25">
      <c r="B7" s="39"/>
      <c r="C7" s="51" t="s">
        <v>40</v>
      </c>
      <c r="D7" s="52">
        <f>IF(D3="","",IF(D3&lt;='Property Summary'!$H$22,Debt,-PV('Property Summary'!$H$21,('Property Summary'!$H$23-Debt!D3)+'Property Summary'!$H$22,PMT('Property Summary'!$H$21/12,'Property Summary'!$H$23*12,-Debt)*12)))</f>
        <v>9584642.4230473004</v>
      </c>
      <c r="E7" s="52">
        <f>IF(E3="","",IF(E3&lt;='Property Summary'!$H$22,Debt,-PV('Property Summary'!$H$21,('Property Summary'!$H$23-Debt!E3)+'Property Summary'!$H$22,PMT('Property Summary'!$H$21/12,'Property Summary'!$H$23*12,-Debt)*12)))</f>
        <v>9584642.4230473004</v>
      </c>
      <c r="F7" s="52">
        <f>IF(F3="","",IF(F3&lt;='Property Summary'!$H$22,Debt,-PV('Property Summary'!$H$21,('Property Summary'!$H$23-Debt!F3)+'Property Summary'!$H$22,PMT('Property Summary'!$H$21/12,'Property Summary'!$H$23*12,-Debt)*12)))</f>
        <v>9584642.4230473004</v>
      </c>
      <c r="G7" s="52">
        <f>IF(G3="","",IF(G3&lt;='Property Summary'!$H$22,Debt,-PV('Property Summary'!$H$21,('Property Summary'!$H$23-Debt!G3)+'Property Summary'!$H$22,PMT('Property Summary'!$H$21/12,'Property Summary'!$H$23*12,-Debt)*12)))</f>
        <v>9348540.8887637053</v>
      </c>
      <c r="H7" s="52">
        <f>IF(H3="","",IF(H3&lt;='Property Summary'!$H$22,Debt,-PV('Property Summary'!$H$21,('Property Summary'!$H$23-Debt!H3)+'Property Summary'!$H$22,PMT('Property Summary'!$H$21/12,'Property Summary'!$H$23*12,-Debt)*12)))</f>
        <v>9198538.73701814</v>
      </c>
      <c r="I7" s="52">
        <f>IF(I3="","",IF(I3&lt;='Property Summary'!$H$22,Debt,-PV('Property Summary'!$H$21,('Property Summary'!$H$23-Debt!I3)+'Property Summary'!$H$22,PMT('Property Summary'!$H$21/12,'Property Summary'!$H$23*12,-Debt)*12)))</f>
        <v>9041036.4776852969</v>
      </c>
      <c r="J7" s="52">
        <f>IF(J3="","",IF(J3&lt;='Property Summary'!$H$22,Debt,-PV('Property Summary'!$H$21,('Property Summary'!$H$23-Debt!J3)+'Property Summary'!$H$22,PMT('Property Summary'!$H$21/12,'Property Summary'!$H$23*12,-Debt)*12)))</f>
        <v>8875659.105385812</v>
      </c>
      <c r="K7" s="52">
        <f>IF(K3="","",IF(K3&lt;='Property Summary'!$H$22,Debt,-PV('Property Summary'!$H$21,('Property Summary'!$H$23-Debt!K3)+'Property Summary'!$H$22,PMT('Property Summary'!$H$21/12,'Property Summary'!$H$23*12,-Debt)*12)))</f>
        <v>8702012.8644713517</v>
      </c>
      <c r="L7" s="52">
        <f>IF(L3="","",IF(L3&lt;='Property Summary'!$H$22,Debt,-PV('Property Summary'!$H$21,('Property Summary'!$H$23-Debt!L3)+'Property Summary'!$H$22,PMT('Property Summary'!$H$21/12,'Property Summary'!$H$23*12,-Debt)*12)))</f>
        <v>8519684.3115111683</v>
      </c>
      <c r="M7" s="52">
        <f>IF(M3="","",IF(M3&lt;='Property Summary'!$H$22,Debt,-PV('Property Summary'!$H$21,('Property Summary'!$H$23-Debt!M3)+'Property Summary'!$H$22,PMT('Property Summary'!$H$21/12,'Property Summary'!$H$23*12,-Debt)*12)))</f>
        <v>8328239.330902976</v>
      </c>
      <c r="N7" s="52" t="str">
        <f>IF(N3="","",IF(N3&lt;='Property Summary'!$H$22,Debt,-PV('Property Summary'!$H$21,('Property Summary'!$H$23-Debt!N3)+'Property Summary'!$H$22,PMT('Property Summary'!$H$21/12,'Property Summary'!$H$23*12,-Debt)*12)))</f>
        <v/>
      </c>
      <c r="O7" s="52" t="str">
        <f>IF(O3="","",IF(O3&lt;='Property Summary'!$H$22,Debt,-PV('Property Summary'!$H$21,('Property Summary'!$H$23-Debt!O3)+'Property Summary'!$H$22,PMT('Property Summary'!$H$21/12,'Property Summary'!$H$23*12,-Debt)*12)))</f>
        <v/>
      </c>
      <c r="P7" s="52" t="str">
        <f>IF(P3="","",IF(P3&lt;='Property Summary'!$H$22,Debt,-PV('Property Summary'!$H$21,('Property Summary'!$H$23-Debt!P3)+'Property Summary'!$H$22,PMT('Property Summary'!$H$21/12,'Property Summary'!$H$23*12,-Debt)*12)))</f>
        <v/>
      </c>
      <c r="Q7" s="52" t="str">
        <f>IF(Q3="","",IF(Q3&lt;='Property Summary'!$H$22,Debt,-PV('Property Summary'!$H$21,('Property Summary'!$H$23-Debt!Q3)+'Property Summary'!$H$22,PMT('Property Summary'!$H$21/12,'Property Summary'!$H$23*12,-Debt)*12)))</f>
        <v/>
      </c>
      <c r="R7" s="52" t="str">
        <f>IF(R3="","",IF(R3&lt;='Property Summary'!$H$22,Debt,-PV('Property Summary'!$H$21,('Property Summary'!$H$23-Debt!R3)+'Property Summary'!$H$22,PMT('Property Summary'!$H$21/12,'Property Summary'!$H$23*12,-Debt)*12)))</f>
        <v/>
      </c>
    </row>
  </sheetData>
  <pageMargins left="0.7" right="0.7" top="0.75" bottom="0.75" header="0.3" footer="0.3"/>
  <pageSetup scale="40" orientation="portrait" horizontalDpi="4294967294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F7" sqref="F7"/>
    </sheetView>
  </sheetViews>
  <sheetFormatPr defaultRowHeight="15" x14ac:dyDescent="0.25"/>
  <sheetData>
    <row r="2" spans="2:4" x14ac:dyDescent="0.25">
      <c r="B2" t="s">
        <v>134</v>
      </c>
    </row>
    <row r="3" spans="2:4" ht="15.75" thickBot="1" x14ac:dyDescent="0.3"/>
    <row r="4" spans="2:4" ht="15.75" thickTop="1" x14ac:dyDescent="0.25">
      <c r="B4" s="8" t="s">
        <v>135</v>
      </c>
      <c r="C4" s="9"/>
      <c r="D4" s="10"/>
    </row>
    <row r="5" spans="2:4" x14ac:dyDescent="0.25">
      <c r="B5" s="11" t="s">
        <v>58</v>
      </c>
      <c r="C5" s="12"/>
      <c r="D5" s="13">
        <f ca="1">'Property Summary'!D21</f>
        <v>7.6356605007508627E-2</v>
      </c>
    </row>
    <row r="6" spans="2:4" x14ac:dyDescent="0.25">
      <c r="B6" s="11" t="s">
        <v>59</v>
      </c>
      <c r="C6" s="12"/>
      <c r="D6" s="13">
        <f ca="1">'Property Summary'!D25</f>
        <v>0.10769873492159809</v>
      </c>
    </row>
    <row r="7" spans="2:4" x14ac:dyDescent="0.25">
      <c r="B7" s="11" t="s">
        <v>93</v>
      </c>
      <c r="C7" s="12"/>
      <c r="D7" s="14">
        <f>'Property Summary'!D26</f>
        <v>2.3419586737546139</v>
      </c>
    </row>
    <row r="8" spans="2:4" x14ac:dyDescent="0.25">
      <c r="B8" s="15"/>
      <c r="C8" s="12"/>
      <c r="D8" s="16"/>
    </row>
    <row r="9" spans="2:4" x14ac:dyDescent="0.25">
      <c r="B9" s="17" t="s">
        <v>136</v>
      </c>
      <c r="C9" s="12"/>
      <c r="D9" s="16"/>
    </row>
    <row r="10" spans="2:4" x14ac:dyDescent="0.25">
      <c r="B10" s="11" t="s">
        <v>60</v>
      </c>
      <c r="C10" s="12"/>
      <c r="D10" s="14">
        <f>'Property Summary'!D29</f>
        <v>1.1700124217011509</v>
      </c>
    </row>
    <row r="11" spans="2:4" ht="15.75" thickBot="1" x14ac:dyDescent="0.3">
      <c r="B11" s="18" t="s">
        <v>61</v>
      </c>
      <c r="C11" s="19"/>
      <c r="D11" s="20">
        <f>'Property Summary'!D30</f>
        <v>8.3790729541358869E-2</v>
      </c>
    </row>
    <row r="12" spans="2:4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20</vt:i4>
      </vt:variant>
    </vt:vector>
  </HeadingPairs>
  <TitlesOfParts>
    <vt:vector size="28" baseType="lpstr">
      <vt:lpstr>Version</vt:lpstr>
      <vt:lpstr>Property Summary</vt:lpstr>
      <vt:lpstr>Property Assumptions</vt:lpstr>
      <vt:lpstr>Investor Returns</vt:lpstr>
      <vt:lpstr>OS DCF</vt:lpstr>
      <vt:lpstr>Property Returns</vt:lpstr>
      <vt:lpstr>Debt</vt:lpstr>
      <vt:lpstr>Raw Data</vt:lpstr>
      <vt:lpstr>Analysis_Period</vt:lpstr>
      <vt:lpstr>Analysis_Start</vt:lpstr>
      <vt:lpstr>Basis</vt:lpstr>
      <vt:lpstr>Cap_Year</vt:lpstr>
      <vt:lpstr>Debt!CashFlow_Table</vt:lpstr>
      <vt:lpstr>Debt</vt:lpstr>
      <vt:lpstr>Debt_Table2</vt:lpstr>
      <vt:lpstr>Discount_Rate</vt:lpstr>
      <vt:lpstr>Equity</vt:lpstr>
      <vt:lpstr>Equity_Share_LP</vt:lpstr>
      <vt:lpstr>Equity_Share_Sponsor</vt:lpstr>
      <vt:lpstr>Exit_Cap_Yr_1</vt:lpstr>
      <vt:lpstr>Name</vt:lpstr>
      <vt:lpstr>P_List_Table</vt:lpstr>
      <vt:lpstr>P_List_Table_2</vt:lpstr>
      <vt:lpstr>Preferred_Return</vt:lpstr>
      <vt:lpstr>Promote_Structure</vt:lpstr>
      <vt:lpstr>Property_Number_List</vt:lpstr>
      <vt:lpstr>Property_SF</vt:lpstr>
      <vt:lpstr>Purchase_Price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Property Acquisition Model</dc:title>
  <dc:subject>Real Estate Financial Analysis</dc:subject>
  <dc:creator>Spencer Burton</dc:creator>
  <cp:keywords>retail, office, industrial, commercial real estate</cp:keywords>
  <cp:lastModifiedBy>burton</cp:lastModifiedBy>
  <cp:lastPrinted>2015-04-17T19:16:36Z</cp:lastPrinted>
  <dcterms:created xsi:type="dcterms:W3CDTF">2015-04-17T17:17:24Z</dcterms:created>
  <dcterms:modified xsi:type="dcterms:W3CDTF">2015-11-07T17:54:09Z</dcterms:modified>
</cp:coreProperties>
</file>