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Adventures In CRE\Blg posts\IndexMatchMatch\"/>
    </mc:Choice>
  </mc:AlternateContent>
  <xr:revisionPtr revIDLastSave="0" documentId="8_{A035E060-422E-49EE-A458-8D19D2F54FC9}" xr6:coauthVersionLast="45" xr6:coauthVersionMax="45" xr10:uidLastSave="{00000000-0000-0000-0000-000000000000}"/>
  <bookViews>
    <workbookView xWindow="-28920" yWindow="-120" windowWidth="28110" windowHeight="16440" xr2:uid="{C146CB78-C7EC-4F78-97E0-B05D8EB67099}"/>
  </bookViews>
  <sheets>
    <sheet name="OpCashFlow" sheetId="2" r:id="rId1"/>
    <sheet name="Sheet1" sheetId="1" r:id="rId2"/>
  </sheets>
  <externalReferences>
    <externalReference r:id="rId3"/>
    <externalReference r:id="rId4"/>
  </externalReferences>
  <definedNames>
    <definedName name="Expense_Detail">'[2]F&amp;B'!$A$108</definedName>
    <definedName name="Non_Hotel_Guests">'[2]F&amp;B'!$A$68</definedName>
    <definedName name="Static_On">'[2]F&amp;B'!$A$16</definedName>
    <definedName name="Yearly_Cost_Control">'[2]F&amp;B'!$A$127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E4" i="2" s="1"/>
  <c r="F4" i="2" s="1"/>
  <c r="G4" i="2" s="1"/>
  <c r="H4" i="2" s="1"/>
  <c r="I4" i="2" s="1"/>
  <c r="J4" i="2" s="1"/>
  <c r="AJ97" i="2"/>
  <c r="AH97" i="2"/>
  <c r="AF97" i="2"/>
  <c r="AD97" i="2"/>
  <c r="AB97" i="2"/>
  <c r="Z97" i="2"/>
  <c r="X97" i="2"/>
  <c r="V97" i="2"/>
  <c r="T97" i="2"/>
  <c r="R97" i="2"/>
  <c r="P97" i="2"/>
  <c r="O95" i="2"/>
  <c r="I95" i="2"/>
  <c r="G95" i="2"/>
  <c r="E95" i="2"/>
  <c r="C95" i="2"/>
  <c r="Q93" i="2"/>
  <c r="Q92" i="2"/>
  <c r="AI84" i="2"/>
  <c r="AG84" i="2"/>
  <c r="AE84" i="2"/>
  <c r="AC84" i="2"/>
  <c r="AA84" i="2"/>
  <c r="Y84" i="2"/>
  <c r="W84" i="2"/>
  <c r="U84" i="2"/>
  <c r="S84" i="2"/>
  <c r="Q84" i="2"/>
  <c r="O84" i="2"/>
  <c r="U83" i="2"/>
  <c r="S83" i="2"/>
  <c r="Q83" i="2"/>
  <c r="I83" i="2"/>
  <c r="AI78" i="2"/>
  <c r="AG78" i="2"/>
  <c r="AE78" i="2"/>
  <c r="AC78" i="2"/>
  <c r="AA78" i="2"/>
  <c r="Y78" i="2"/>
  <c r="W78" i="2"/>
  <c r="U78" i="2"/>
  <c r="S78" i="2"/>
  <c r="Q78" i="2"/>
  <c r="O78" i="2"/>
  <c r="S77" i="2"/>
  <c r="U77" i="2" s="1"/>
  <c r="W77" i="2" s="1"/>
  <c r="Q77" i="2"/>
  <c r="I77" i="2"/>
  <c r="I75" i="2"/>
  <c r="G75" i="2"/>
  <c r="E75" i="2"/>
  <c r="C75" i="2"/>
  <c r="AI72" i="2"/>
  <c r="AG72" i="2"/>
  <c r="AE72" i="2"/>
  <c r="AC72" i="2"/>
  <c r="AA72" i="2"/>
  <c r="Y72" i="2"/>
  <c r="W72" i="2"/>
  <c r="U72" i="2"/>
  <c r="S72" i="2"/>
  <c r="Q72" i="2"/>
  <c r="O72" i="2"/>
  <c r="S71" i="2"/>
  <c r="Q71" i="2"/>
  <c r="I69" i="2"/>
  <c r="G69" i="2"/>
  <c r="E69" i="2"/>
  <c r="C69" i="2"/>
  <c r="AI66" i="2"/>
  <c r="AG66" i="2"/>
  <c r="AE66" i="2"/>
  <c r="AC66" i="2"/>
  <c r="AA66" i="2"/>
  <c r="Y66" i="2"/>
  <c r="W66" i="2"/>
  <c r="U66" i="2"/>
  <c r="S66" i="2"/>
  <c r="Q66" i="2"/>
  <c r="O66" i="2"/>
  <c r="W65" i="2"/>
  <c r="S65" i="2"/>
  <c r="U65" i="2" s="1"/>
  <c r="Q65" i="2"/>
  <c r="I65" i="2"/>
  <c r="AI60" i="2"/>
  <c r="AG60" i="2"/>
  <c r="AE60" i="2"/>
  <c r="AC60" i="2"/>
  <c r="AA60" i="2"/>
  <c r="Y60" i="2"/>
  <c r="W60" i="2"/>
  <c r="U60" i="2"/>
  <c r="S60" i="2"/>
  <c r="Q60" i="2"/>
  <c r="O60" i="2"/>
  <c r="Q59" i="2"/>
  <c r="I59" i="2"/>
  <c r="E57" i="2"/>
  <c r="C57" i="2"/>
  <c r="J54" i="2"/>
  <c r="G54" i="2"/>
  <c r="M53" i="2"/>
  <c r="J53" i="2"/>
  <c r="H53" i="2"/>
  <c r="F53" i="2"/>
  <c r="D53" i="2"/>
  <c r="M52" i="2"/>
  <c r="I52" i="2"/>
  <c r="I54" i="2" s="1"/>
  <c r="H52" i="2"/>
  <c r="E52" i="2"/>
  <c r="E54" i="2" s="1"/>
  <c r="C52" i="2"/>
  <c r="M51" i="2"/>
  <c r="J51" i="2"/>
  <c r="H51" i="2"/>
  <c r="F51" i="2"/>
  <c r="D51" i="2"/>
  <c r="I49" i="2"/>
  <c r="H49" i="2"/>
  <c r="G49" i="2"/>
  <c r="H63" i="2" s="1"/>
  <c r="AI46" i="2"/>
  <c r="AG46" i="2"/>
  <c r="AE46" i="2"/>
  <c r="AC46" i="2"/>
  <c r="AA46" i="2"/>
  <c r="Y46" i="2"/>
  <c r="W46" i="2"/>
  <c r="U46" i="2"/>
  <c r="S46" i="2"/>
  <c r="Q46" i="2"/>
  <c r="S45" i="2"/>
  <c r="U45" i="2" s="1"/>
  <c r="Q45" i="2"/>
  <c r="I45" i="2"/>
  <c r="H43" i="2"/>
  <c r="AI40" i="2"/>
  <c r="AG40" i="2"/>
  <c r="AE40" i="2"/>
  <c r="AC40" i="2"/>
  <c r="AA40" i="2"/>
  <c r="Y40" i="2"/>
  <c r="W40" i="2"/>
  <c r="U40" i="2"/>
  <c r="S40" i="2"/>
  <c r="Q40" i="2"/>
  <c r="Q39" i="2"/>
  <c r="I39" i="2"/>
  <c r="J37" i="2"/>
  <c r="H37" i="2"/>
  <c r="AI34" i="2"/>
  <c r="AG34" i="2"/>
  <c r="AE34" i="2"/>
  <c r="AC34" i="2"/>
  <c r="AA34" i="2"/>
  <c r="Y34" i="2"/>
  <c r="W34" i="2"/>
  <c r="U34" i="2"/>
  <c r="S34" i="2"/>
  <c r="Q34" i="2"/>
  <c r="O34" i="2"/>
  <c r="Q33" i="2"/>
  <c r="I33" i="2"/>
  <c r="J31" i="2"/>
  <c r="H31" i="2"/>
  <c r="E31" i="2"/>
  <c r="C31" i="2"/>
  <c r="C49" i="2" s="1"/>
  <c r="J30" i="2"/>
  <c r="H30" i="2"/>
  <c r="G23" i="2"/>
  <c r="O22" i="2"/>
  <c r="I22" i="2"/>
  <c r="G22" i="2"/>
  <c r="I23" i="2" s="1"/>
  <c r="E22" i="2"/>
  <c r="E23" i="2" s="1"/>
  <c r="C22" i="2"/>
  <c r="E18" i="2"/>
  <c r="C18" i="2"/>
  <c r="AI17" i="2"/>
  <c r="AG17" i="2"/>
  <c r="AE17" i="2"/>
  <c r="AC17" i="2"/>
  <c r="AA17" i="2"/>
  <c r="Y17" i="2"/>
  <c r="W17" i="2"/>
  <c r="U17" i="2"/>
  <c r="S17" i="2"/>
  <c r="Q17" i="2"/>
  <c r="O17" i="2"/>
  <c r="I17" i="2"/>
  <c r="G17" i="2"/>
  <c r="E17" i="2"/>
  <c r="E19" i="2" s="1"/>
  <c r="C17" i="2"/>
  <c r="C19" i="2" s="1"/>
  <c r="O16" i="2"/>
  <c r="O18" i="2" s="1"/>
  <c r="E16" i="2"/>
  <c r="G16" i="2" s="1"/>
  <c r="AI15" i="2"/>
  <c r="AG15" i="2"/>
  <c r="AE15" i="2"/>
  <c r="AC15" i="2"/>
  <c r="AA15" i="2"/>
  <c r="Y15" i="2"/>
  <c r="W15" i="2"/>
  <c r="U15" i="2"/>
  <c r="S15" i="2"/>
  <c r="Q15" i="2"/>
  <c r="O15" i="2"/>
  <c r="S14" i="2"/>
  <c r="U14" i="2" s="1"/>
  <c r="W14" i="2" s="1"/>
  <c r="Y14" i="2" s="1"/>
  <c r="AA14" i="2" s="1"/>
  <c r="AC14" i="2" s="1"/>
  <c r="AE14" i="2" s="1"/>
  <c r="AG14" i="2" s="1"/>
  <c r="AI14" i="2" s="1"/>
  <c r="Q14" i="2"/>
  <c r="F4" i="1"/>
  <c r="G4" i="1" s="1"/>
  <c r="H4" i="1" s="1"/>
  <c r="I4" i="1" s="1"/>
  <c r="J4" i="1" s="1"/>
  <c r="E4" i="1"/>
  <c r="D4" i="1"/>
  <c r="B5" i="1"/>
  <c r="O19" i="2" l="1"/>
  <c r="O20" i="2" s="1"/>
  <c r="O69" i="2" s="1"/>
  <c r="Q16" i="2"/>
  <c r="I18" i="2"/>
  <c r="G18" i="2"/>
  <c r="G19" i="2" s="1"/>
  <c r="I16" i="2"/>
  <c r="E24" i="2"/>
  <c r="E21" i="2"/>
  <c r="I19" i="2"/>
  <c r="C24" i="2"/>
  <c r="C21" i="2"/>
  <c r="C97" i="2"/>
  <c r="D97" i="2" s="1"/>
  <c r="D93" i="2"/>
  <c r="D92" i="2"/>
  <c r="C89" i="2"/>
  <c r="D89" i="2" s="1"/>
  <c r="D81" i="2"/>
  <c r="D94" i="2"/>
  <c r="C63" i="2"/>
  <c r="D63" i="2" s="1"/>
  <c r="C55" i="2"/>
  <c r="D95" i="2"/>
  <c r="D37" i="2"/>
  <c r="S59" i="2"/>
  <c r="Q22" i="2"/>
  <c r="D31" i="2"/>
  <c r="S39" i="2"/>
  <c r="D49" i="2"/>
  <c r="C54" i="2"/>
  <c r="D54" i="2" s="1"/>
  <c r="D52" i="2"/>
  <c r="F69" i="2"/>
  <c r="D75" i="2"/>
  <c r="Y77" i="2"/>
  <c r="U71" i="2"/>
  <c r="D30" i="2"/>
  <c r="D43" i="2"/>
  <c r="F54" i="2"/>
  <c r="D57" i="2"/>
  <c r="W45" i="2"/>
  <c r="Y65" i="2"/>
  <c r="S33" i="2"/>
  <c r="E87" i="2"/>
  <c r="F87" i="2" s="1"/>
  <c r="E49" i="2"/>
  <c r="J97" i="2"/>
  <c r="J94" i="2"/>
  <c r="J95" i="2"/>
  <c r="J93" i="2"/>
  <c r="J92" i="2"/>
  <c r="J81" i="2"/>
  <c r="I55" i="2"/>
  <c r="J63" i="2"/>
  <c r="G87" i="2"/>
  <c r="H87" i="2" s="1"/>
  <c r="H69" i="2"/>
  <c r="J49" i="2"/>
  <c r="J52" i="2"/>
  <c r="J69" i="2"/>
  <c r="I71" i="2"/>
  <c r="I87" i="2" s="1"/>
  <c r="J87" i="2" s="1"/>
  <c r="H75" i="2"/>
  <c r="I89" i="2"/>
  <c r="J89" i="2" s="1"/>
  <c r="J43" i="2"/>
  <c r="H97" i="2"/>
  <c r="H94" i="2"/>
  <c r="G89" i="2"/>
  <c r="H89" i="2" s="1"/>
  <c r="H93" i="2"/>
  <c r="H95" i="2"/>
  <c r="H57" i="2"/>
  <c r="H92" i="2"/>
  <c r="H81" i="2"/>
  <c r="G55" i="2"/>
  <c r="F52" i="2"/>
  <c r="H54" i="2"/>
  <c r="J57" i="2"/>
  <c r="D69" i="2"/>
  <c r="J75" i="2"/>
  <c r="W83" i="2"/>
  <c r="S93" i="2"/>
  <c r="C87" i="2"/>
  <c r="D87" i="2" s="1"/>
  <c r="F75" i="2"/>
  <c r="Q95" i="2"/>
  <c r="S92" i="2"/>
  <c r="O31" i="2" l="1"/>
  <c r="O57" i="2"/>
  <c r="O37" i="2"/>
  <c r="O75" i="2"/>
  <c r="O24" i="2"/>
  <c r="O63" i="2"/>
  <c r="O81" i="2"/>
  <c r="O43" i="2"/>
  <c r="S16" i="2"/>
  <c r="Q18" i="2"/>
  <c r="Q19" i="2" s="1"/>
  <c r="Q20" i="2" s="1"/>
  <c r="Q24" i="2" s="1"/>
  <c r="U93" i="2"/>
  <c r="G88" i="2"/>
  <c r="H55" i="2"/>
  <c r="G26" i="2"/>
  <c r="AA65" i="2"/>
  <c r="G21" i="2"/>
  <c r="G24" i="2"/>
  <c r="G25" i="2" s="1"/>
  <c r="O52" i="2"/>
  <c r="S95" i="2"/>
  <c r="U92" i="2"/>
  <c r="AA77" i="2"/>
  <c r="U39" i="2"/>
  <c r="U59" i="2"/>
  <c r="C88" i="2"/>
  <c r="C26" i="2"/>
  <c r="D55" i="2"/>
  <c r="U33" i="2"/>
  <c r="I21" i="2"/>
  <c r="I24" i="2"/>
  <c r="O25" i="2" s="1"/>
  <c r="O53" i="2"/>
  <c r="I88" i="2"/>
  <c r="J55" i="2"/>
  <c r="I26" i="2"/>
  <c r="W71" i="2"/>
  <c r="Y83" i="2"/>
  <c r="F92" i="2"/>
  <c r="F95" i="2"/>
  <c r="F97" i="2"/>
  <c r="F94" i="2"/>
  <c r="E89" i="2"/>
  <c r="F89" i="2" s="1"/>
  <c r="F63" i="2"/>
  <c r="E55" i="2"/>
  <c r="F93" i="2"/>
  <c r="F57" i="2"/>
  <c r="F49" i="2"/>
  <c r="F37" i="2"/>
  <c r="F30" i="2"/>
  <c r="F81" i="2"/>
  <c r="F43" i="2"/>
  <c r="Y45" i="2"/>
  <c r="F31" i="2"/>
  <c r="S22" i="2"/>
  <c r="E25" i="2"/>
  <c r="O30" i="2"/>
  <c r="O87" i="2" l="1"/>
  <c r="Q81" i="2"/>
  <c r="Q69" i="2"/>
  <c r="Q57" i="2"/>
  <c r="Q37" i="2"/>
  <c r="Q53" i="2" s="1"/>
  <c r="Q75" i="2"/>
  <c r="Q63" i="2"/>
  <c r="Q43" i="2"/>
  <c r="Q31" i="2"/>
  <c r="Q52" i="2" s="1"/>
  <c r="I27" i="2"/>
  <c r="I25" i="2"/>
  <c r="S18" i="2"/>
  <c r="S19" i="2" s="1"/>
  <c r="S20" i="2" s="1"/>
  <c r="U16" i="2"/>
  <c r="AA83" i="2"/>
  <c r="O49" i="2"/>
  <c r="O51" i="2"/>
  <c r="E88" i="2"/>
  <c r="F55" i="2"/>
  <c r="E26" i="2"/>
  <c r="E27" i="2" s="1"/>
  <c r="P53" i="2"/>
  <c r="P52" i="2"/>
  <c r="Q30" i="2"/>
  <c r="Q25" i="2"/>
  <c r="W39" i="2"/>
  <c r="AC65" i="2"/>
  <c r="H88" i="2"/>
  <c r="G90" i="2"/>
  <c r="AA45" i="2"/>
  <c r="Y71" i="2"/>
  <c r="J88" i="2"/>
  <c r="I90" i="2"/>
  <c r="W33" i="2"/>
  <c r="D88" i="2"/>
  <c r="C90" i="2"/>
  <c r="U95" i="2"/>
  <c r="W92" i="2"/>
  <c r="U22" i="2"/>
  <c r="W59" i="2"/>
  <c r="AC77" i="2"/>
  <c r="W93" i="2"/>
  <c r="P87" i="2" l="1"/>
  <c r="S69" i="2"/>
  <c r="S57" i="2"/>
  <c r="S81" i="2"/>
  <c r="S31" i="2"/>
  <c r="S52" i="2" s="1"/>
  <c r="S75" i="2"/>
  <c r="S43" i="2"/>
  <c r="S37" i="2"/>
  <c r="S53" i="2" s="1"/>
  <c r="S63" i="2"/>
  <c r="U18" i="2"/>
  <c r="U19" i="2" s="1"/>
  <c r="U20" i="2" s="1"/>
  <c r="U24" i="2" s="1"/>
  <c r="W16" i="2"/>
  <c r="S24" i="2"/>
  <c r="S25" i="2" s="1"/>
  <c r="Q87" i="2"/>
  <c r="C96" i="2"/>
  <c r="D90" i="2"/>
  <c r="P93" i="2"/>
  <c r="P92" i="2"/>
  <c r="O89" i="2"/>
  <c r="P89" i="2" s="1"/>
  <c r="P95" i="2"/>
  <c r="O97" i="2"/>
  <c r="P94" i="2"/>
  <c r="P49" i="2"/>
  <c r="P75" i="2"/>
  <c r="P43" i="2"/>
  <c r="P63" i="2"/>
  <c r="P69" i="2"/>
  <c r="P31" i="2"/>
  <c r="P81" i="2"/>
  <c r="P57" i="2"/>
  <c r="P37" i="2"/>
  <c r="AE65" i="2"/>
  <c r="G27" i="2"/>
  <c r="AE77" i="2"/>
  <c r="I96" i="2"/>
  <c r="J90" i="2"/>
  <c r="AC45" i="2"/>
  <c r="Y93" i="2"/>
  <c r="Y59" i="2"/>
  <c r="W95" i="2"/>
  <c r="Y92" i="2"/>
  <c r="G96" i="2"/>
  <c r="H90" i="2"/>
  <c r="R52" i="2"/>
  <c r="R53" i="2"/>
  <c r="F88" i="2"/>
  <c r="E90" i="2"/>
  <c r="O54" i="2"/>
  <c r="P54" i="2" s="1"/>
  <c r="P51" i="2"/>
  <c r="Q51" i="2"/>
  <c r="W22" i="2"/>
  <c r="Y33" i="2"/>
  <c r="AA71" i="2"/>
  <c r="Y39" i="2"/>
  <c r="Q49" i="2"/>
  <c r="R30" i="2" s="1"/>
  <c r="P30" i="2"/>
  <c r="AC83" i="2"/>
  <c r="S30" i="2" l="1"/>
  <c r="S49" i="2" s="1"/>
  <c r="T30" i="2" s="1"/>
  <c r="S87" i="2"/>
  <c r="Y16" i="2"/>
  <c r="W18" i="2"/>
  <c r="W19" i="2" s="1"/>
  <c r="W20" i="2" s="1"/>
  <c r="W24" i="2" s="1"/>
  <c r="U75" i="2"/>
  <c r="U57" i="2"/>
  <c r="U69" i="2"/>
  <c r="U81" i="2"/>
  <c r="U37" i="2"/>
  <c r="U53" i="2" s="1"/>
  <c r="U43" i="2"/>
  <c r="U63" i="2"/>
  <c r="U31" i="2"/>
  <c r="U52" i="2" s="1"/>
  <c r="T52" i="2"/>
  <c r="Q54" i="2"/>
  <c r="R54" i="2" s="1"/>
  <c r="R51" i="2"/>
  <c r="AA59" i="2"/>
  <c r="AE45" i="2"/>
  <c r="Q97" i="2"/>
  <c r="R94" i="2"/>
  <c r="Q89" i="2"/>
  <c r="R89" i="2" s="1"/>
  <c r="R49" i="2"/>
  <c r="R92" i="2"/>
  <c r="R93" i="2"/>
  <c r="R69" i="2"/>
  <c r="R75" i="2"/>
  <c r="R81" i="2"/>
  <c r="R43" i="2"/>
  <c r="R63" i="2"/>
  <c r="R95" i="2"/>
  <c r="R37" i="2"/>
  <c r="R31" i="2"/>
  <c r="R57" i="2"/>
  <c r="R87" i="2"/>
  <c r="C99" i="2"/>
  <c r="D99" i="2" s="1"/>
  <c r="D96" i="2"/>
  <c r="AA33" i="2"/>
  <c r="U30" i="2"/>
  <c r="U25" i="2"/>
  <c r="E96" i="2"/>
  <c r="F90" i="2"/>
  <c r="G99" i="2"/>
  <c r="H99" i="2" s="1"/>
  <c r="H96" i="2"/>
  <c r="AG77" i="2"/>
  <c r="Y95" i="2"/>
  <c r="AA92" i="2"/>
  <c r="AE83" i="2"/>
  <c r="I99" i="2"/>
  <c r="J99" i="2" s="1"/>
  <c r="J96" i="2"/>
  <c r="AA39" i="2"/>
  <c r="AC71" i="2"/>
  <c r="Y22" i="2"/>
  <c r="T53" i="2"/>
  <c r="AA93" i="2"/>
  <c r="AG65" i="2"/>
  <c r="O55" i="2"/>
  <c r="S51" i="2" l="1"/>
  <c r="U51" i="2" s="1"/>
  <c r="Q55" i="2"/>
  <c r="R55" i="2" s="1"/>
  <c r="U87" i="2"/>
  <c r="W69" i="2"/>
  <c r="W75" i="2"/>
  <c r="W63" i="2"/>
  <c r="W43" i="2"/>
  <c r="W31" i="2"/>
  <c r="W52" i="2" s="1"/>
  <c r="W37" i="2"/>
  <c r="W81" i="2"/>
  <c r="W57" i="2"/>
  <c r="AA16" i="2"/>
  <c r="Y18" i="2"/>
  <c r="Y19" i="2" s="1"/>
  <c r="Y20" i="2" s="1"/>
  <c r="AC93" i="2"/>
  <c r="AE71" i="2"/>
  <c r="AI77" i="2"/>
  <c r="E99" i="2"/>
  <c r="F99" i="2" s="1"/>
  <c r="F96" i="2"/>
  <c r="AG45" i="2"/>
  <c r="AI65" i="2"/>
  <c r="AA22" i="2"/>
  <c r="AC39" i="2"/>
  <c r="AA95" i="2"/>
  <c r="AC92" i="2"/>
  <c r="W53" i="2"/>
  <c r="V53" i="2"/>
  <c r="T94" i="2"/>
  <c r="S89" i="2"/>
  <c r="T89" i="2" s="1"/>
  <c r="S97" i="2"/>
  <c r="T49" i="2"/>
  <c r="T69" i="2"/>
  <c r="T92" i="2"/>
  <c r="T93" i="2"/>
  <c r="T43" i="2"/>
  <c r="T63" i="2"/>
  <c r="T37" i="2"/>
  <c r="T81" i="2"/>
  <c r="T95" i="2"/>
  <c r="T57" i="2"/>
  <c r="T31" i="2"/>
  <c r="T75" i="2"/>
  <c r="T87" i="2"/>
  <c r="W30" i="2"/>
  <c r="W25" i="2"/>
  <c r="U49" i="2"/>
  <c r="V30" i="2" s="1"/>
  <c r="Q88" i="2"/>
  <c r="Q26" i="2"/>
  <c r="T51" i="2"/>
  <c r="V52" i="2"/>
  <c r="O88" i="2"/>
  <c r="P55" i="2"/>
  <c r="O26" i="2"/>
  <c r="O27" i="2" s="1"/>
  <c r="AG83" i="2"/>
  <c r="AC33" i="2"/>
  <c r="AC59" i="2"/>
  <c r="S54" i="2" l="1"/>
  <c r="T54" i="2" s="1"/>
  <c r="W87" i="2"/>
  <c r="Y69" i="2"/>
  <c r="Y57" i="2"/>
  <c r="Y81" i="2"/>
  <c r="Y43" i="2"/>
  <c r="Y63" i="2"/>
  <c r="Y75" i="2"/>
  <c r="Y31" i="2"/>
  <c r="Y52" i="2" s="1"/>
  <c r="Y37" i="2"/>
  <c r="Y53" i="2" s="1"/>
  <c r="AC16" i="2"/>
  <c r="AA18" i="2"/>
  <c r="AA19" i="2" s="1"/>
  <c r="AA20" i="2" s="1"/>
  <c r="AA24" i="2" s="1"/>
  <c r="Y24" i="2"/>
  <c r="Y30" i="2" s="1"/>
  <c r="R88" i="2"/>
  <c r="Q90" i="2"/>
  <c r="AE39" i="2"/>
  <c r="AG71" i="2"/>
  <c r="AE59" i="2"/>
  <c r="W49" i="2"/>
  <c r="X30" i="2"/>
  <c r="U54" i="2"/>
  <c r="V54" i="2" s="1"/>
  <c r="W51" i="2"/>
  <c r="V51" i="2"/>
  <c r="Q27" i="2"/>
  <c r="AI45" i="2"/>
  <c r="AE93" i="2"/>
  <c r="AE33" i="2"/>
  <c r="AI83" i="2"/>
  <c r="P88" i="2"/>
  <c r="O90" i="2"/>
  <c r="V94" i="2"/>
  <c r="U97" i="2"/>
  <c r="U89" i="2"/>
  <c r="V89" i="2" s="1"/>
  <c r="V49" i="2"/>
  <c r="V92" i="2"/>
  <c r="V93" i="2"/>
  <c r="V57" i="2"/>
  <c r="V31" i="2"/>
  <c r="V69" i="2"/>
  <c r="V37" i="2"/>
  <c r="V95" i="2"/>
  <c r="V75" i="2"/>
  <c r="V43" i="2"/>
  <c r="V81" i="2"/>
  <c r="V63" i="2"/>
  <c r="V87" i="2"/>
  <c r="AC95" i="2"/>
  <c r="AE92" i="2"/>
  <c r="AC22" i="2"/>
  <c r="X52" i="2"/>
  <c r="X53" i="2"/>
  <c r="S55" i="2" l="1"/>
  <c r="Y25" i="2"/>
  <c r="U55" i="2"/>
  <c r="U88" i="2" s="1"/>
  <c r="Y87" i="2"/>
  <c r="AA69" i="2"/>
  <c r="AA43" i="2"/>
  <c r="AA31" i="2"/>
  <c r="AA81" i="2"/>
  <c r="AA57" i="2"/>
  <c r="AA75" i="2"/>
  <c r="AA37" i="2"/>
  <c r="AA53" i="2" s="1"/>
  <c r="AA63" i="2"/>
  <c r="AE16" i="2"/>
  <c r="AC18" i="2"/>
  <c r="AC19" i="2" s="1"/>
  <c r="AC20" i="2" s="1"/>
  <c r="AA52" i="2"/>
  <c r="Z52" i="2"/>
  <c r="W54" i="2"/>
  <c r="X54" i="2" s="1"/>
  <c r="X51" i="2"/>
  <c r="Y51" i="2"/>
  <c r="AI71" i="2"/>
  <c r="AE95" i="2"/>
  <c r="AG92" i="2"/>
  <c r="AG33" i="2"/>
  <c r="Y49" i="2"/>
  <c r="AA25" i="2"/>
  <c r="AA30" i="2"/>
  <c r="AG59" i="2"/>
  <c r="Q96" i="2"/>
  <c r="R90" i="2"/>
  <c r="Z53" i="2"/>
  <c r="AE22" i="2"/>
  <c r="O96" i="2"/>
  <c r="P90" i="2"/>
  <c r="AG93" i="2"/>
  <c r="W89" i="2"/>
  <c r="X89" i="2" s="1"/>
  <c r="W97" i="2"/>
  <c r="X94" i="2"/>
  <c r="X49" i="2"/>
  <c r="X69" i="2"/>
  <c r="X93" i="2"/>
  <c r="X92" i="2"/>
  <c r="X37" i="2"/>
  <c r="X57" i="2"/>
  <c r="X43" i="2"/>
  <c r="X63" i="2"/>
  <c r="X81" i="2"/>
  <c r="X31" i="2"/>
  <c r="X75" i="2"/>
  <c r="X95" i="2"/>
  <c r="X87" i="2"/>
  <c r="AG39" i="2"/>
  <c r="U26" i="2" l="1"/>
  <c r="U27" i="2"/>
  <c r="S88" i="2"/>
  <c r="T55" i="2"/>
  <c r="S26" i="2"/>
  <c r="S27" i="2" s="1"/>
  <c r="W55" i="2"/>
  <c r="W88" i="2" s="1"/>
  <c r="V55" i="2"/>
  <c r="AC69" i="2"/>
  <c r="AC81" i="2"/>
  <c r="AC63" i="2"/>
  <c r="AC75" i="2"/>
  <c r="AC57" i="2"/>
  <c r="AC37" i="2"/>
  <c r="AC53" i="2" s="1"/>
  <c r="AC43" i="2"/>
  <c r="AC31" i="2"/>
  <c r="AE18" i="2"/>
  <c r="AE19" i="2" s="1"/>
  <c r="AE20" i="2" s="1"/>
  <c r="AG16" i="2"/>
  <c r="AC24" i="2"/>
  <c r="AC25" i="2" s="1"/>
  <c r="AA87" i="2"/>
  <c r="AI59" i="2"/>
  <c r="AG95" i="2"/>
  <c r="AI92" i="2"/>
  <c r="Q99" i="2"/>
  <c r="R99" i="2" s="1"/>
  <c r="R96" i="2"/>
  <c r="AA49" i="2"/>
  <c r="V88" i="2"/>
  <c r="U90" i="2"/>
  <c r="AI39" i="2"/>
  <c r="AI93" i="2"/>
  <c r="O99" i="2"/>
  <c r="P99" i="2" s="1"/>
  <c r="P96" i="2"/>
  <c r="AB53" i="2"/>
  <c r="Y54" i="2"/>
  <c r="Z54" i="2" s="1"/>
  <c r="AA51" i="2"/>
  <c r="Z51" i="2"/>
  <c r="AG22" i="2"/>
  <c r="Y97" i="2"/>
  <c r="Z94" i="2"/>
  <c r="Y89" i="2"/>
  <c r="Z89" i="2" s="1"/>
  <c r="Z49" i="2"/>
  <c r="Z93" i="2"/>
  <c r="Z69" i="2"/>
  <c r="Z92" i="2"/>
  <c r="Z31" i="2"/>
  <c r="Z95" i="2"/>
  <c r="Z57" i="2"/>
  <c r="Z37" i="2"/>
  <c r="Z43" i="2"/>
  <c r="Z75" i="2"/>
  <c r="Z63" i="2"/>
  <c r="Z81" i="2"/>
  <c r="Z87" i="2"/>
  <c r="Z30" i="2"/>
  <c r="AI33" i="2"/>
  <c r="AB52" i="2"/>
  <c r="AC52" i="2"/>
  <c r="AC30" i="2" l="1"/>
  <c r="S90" i="2"/>
  <c r="T88" i="2"/>
  <c r="W26" i="2"/>
  <c r="W27" i="2" s="1"/>
  <c r="X55" i="2"/>
  <c r="AC87" i="2"/>
  <c r="AI16" i="2"/>
  <c r="AI18" i="2" s="1"/>
  <c r="AI19" i="2" s="1"/>
  <c r="AI20" i="2" s="1"/>
  <c r="AI37" i="2" s="1"/>
  <c r="AG18" i="2"/>
  <c r="AG19" i="2" s="1"/>
  <c r="AG20" i="2" s="1"/>
  <c r="AG24" i="2" s="1"/>
  <c r="AE43" i="2"/>
  <c r="AE37" i="2"/>
  <c r="AE53" i="2" s="1"/>
  <c r="AE75" i="2"/>
  <c r="AE57" i="2"/>
  <c r="AE63" i="2"/>
  <c r="AE31" i="2"/>
  <c r="AE52" i="2" s="1"/>
  <c r="AE81" i="2"/>
  <c r="AE69" i="2"/>
  <c r="AE24" i="2"/>
  <c r="AE30" i="2" s="1"/>
  <c r="AB94" i="2"/>
  <c r="AA89" i="2"/>
  <c r="AB89" i="2" s="1"/>
  <c r="AA97" i="2"/>
  <c r="AB49" i="2"/>
  <c r="AB93" i="2"/>
  <c r="AB69" i="2"/>
  <c r="AB92" i="2"/>
  <c r="AB81" i="2"/>
  <c r="AB57" i="2"/>
  <c r="AB37" i="2"/>
  <c r="AB75" i="2"/>
  <c r="AB95" i="2"/>
  <c r="AB63" i="2"/>
  <c r="AB43" i="2"/>
  <c r="AB31" i="2"/>
  <c r="AB87" i="2"/>
  <c r="AD52" i="2"/>
  <c r="AC49" i="2"/>
  <c r="AD30" i="2" s="1"/>
  <c r="Y55" i="2"/>
  <c r="AI22" i="2"/>
  <c r="AA54" i="2"/>
  <c r="AB54" i="2" s="1"/>
  <c r="AB51" i="2"/>
  <c r="AC51" i="2"/>
  <c r="AD53" i="2"/>
  <c r="U96" i="2"/>
  <c r="V90" i="2"/>
  <c r="AI95" i="2"/>
  <c r="X88" i="2"/>
  <c r="W90" i="2"/>
  <c r="AB30" i="2"/>
  <c r="T90" i="2" l="1"/>
  <c r="S96" i="2"/>
  <c r="AE25" i="2"/>
  <c r="AI24" i="2"/>
  <c r="AI25" i="2" s="1"/>
  <c r="AE87" i="2"/>
  <c r="AI43" i="2"/>
  <c r="AI81" i="2"/>
  <c r="AI69" i="2"/>
  <c r="AI63" i="2"/>
  <c r="AI75" i="2"/>
  <c r="AI31" i="2"/>
  <c r="AI57" i="2"/>
  <c r="AG69" i="2"/>
  <c r="AG81" i="2"/>
  <c r="AG43" i="2"/>
  <c r="AG57" i="2"/>
  <c r="AG75" i="2"/>
  <c r="AG37" i="2"/>
  <c r="AG53" i="2" s="1"/>
  <c r="AG63" i="2"/>
  <c r="AG31" i="2"/>
  <c r="AG52" i="2" s="1"/>
  <c r="AE49" i="2"/>
  <c r="AF30" i="2" s="1"/>
  <c r="AA55" i="2"/>
  <c r="AF52" i="2"/>
  <c r="AC54" i="2"/>
  <c r="AD54" i="2" s="1"/>
  <c r="AE51" i="2"/>
  <c r="AD51" i="2"/>
  <c r="AF53" i="2"/>
  <c r="W96" i="2"/>
  <c r="X90" i="2"/>
  <c r="V96" i="2"/>
  <c r="U99" i="2"/>
  <c r="V99" i="2" s="1"/>
  <c r="AG30" i="2"/>
  <c r="AG25" i="2"/>
  <c r="Y88" i="2"/>
  <c r="Z55" i="2"/>
  <c r="Y26" i="2"/>
  <c r="Y27" i="2" s="1"/>
  <c r="AD94" i="2"/>
  <c r="AC97" i="2"/>
  <c r="AD49" i="2"/>
  <c r="AC89" i="2"/>
  <c r="AD89" i="2" s="1"/>
  <c r="AD93" i="2"/>
  <c r="AD69" i="2"/>
  <c r="AD92" i="2"/>
  <c r="AD81" i="2"/>
  <c r="AD37" i="2"/>
  <c r="AD31" i="2"/>
  <c r="AD57" i="2"/>
  <c r="AD63" i="2"/>
  <c r="AD43" i="2"/>
  <c r="AD75" i="2"/>
  <c r="AD95" i="2"/>
  <c r="AD87" i="2"/>
  <c r="AI30" i="2" l="1"/>
  <c r="S99" i="2"/>
  <c r="T99" i="2" s="1"/>
  <c r="T96" i="2"/>
  <c r="AI87" i="2"/>
  <c r="AG87" i="2"/>
  <c r="W99" i="2"/>
  <c r="X99" i="2" s="1"/>
  <c r="X96" i="2"/>
  <c r="AI52" i="2"/>
  <c r="AJ52" i="2" s="1"/>
  <c r="AH52" i="2"/>
  <c r="AB55" i="2"/>
  <c r="AA26" i="2"/>
  <c r="AA27" i="2" s="1"/>
  <c r="AA88" i="2"/>
  <c r="Z88" i="2"/>
  <c r="Y90" i="2"/>
  <c r="AC55" i="2"/>
  <c r="AG49" i="2"/>
  <c r="AH30" i="2" s="1"/>
  <c r="AI53" i="2"/>
  <c r="AJ53" i="2" s="1"/>
  <c r="AH53" i="2"/>
  <c r="AE54" i="2"/>
  <c r="AF54" i="2" s="1"/>
  <c r="AF51" i="2"/>
  <c r="AG51" i="2"/>
  <c r="AI49" i="2"/>
  <c r="AJ30" i="2"/>
  <c r="AE89" i="2"/>
  <c r="AF89" i="2" s="1"/>
  <c r="AF94" i="2"/>
  <c r="AE97" i="2"/>
  <c r="AF49" i="2"/>
  <c r="AF92" i="2"/>
  <c r="AF93" i="2"/>
  <c r="AF43" i="2"/>
  <c r="AF37" i="2"/>
  <c r="AF31" i="2"/>
  <c r="AF75" i="2"/>
  <c r="AF81" i="2"/>
  <c r="AF95" i="2"/>
  <c r="AF69" i="2"/>
  <c r="AF63" i="2"/>
  <c r="AF57" i="2"/>
  <c r="AF87" i="2"/>
  <c r="AE55" i="2" l="1"/>
  <c r="AC88" i="2"/>
  <c r="AD55" i="2"/>
  <c r="AC26" i="2"/>
  <c r="AC27" i="2" s="1"/>
  <c r="AG97" i="2"/>
  <c r="AH94" i="2"/>
  <c r="AG89" i="2"/>
  <c r="AH89" i="2" s="1"/>
  <c r="AH49" i="2"/>
  <c r="AH92" i="2"/>
  <c r="AH69" i="2"/>
  <c r="AH93" i="2"/>
  <c r="AH95" i="2"/>
  <c r="AH57" i="2"/>
  <c r="AH31" i="2"/>
  <c r="AH37" i="2"/>
  <c r="AH75" i="2"/>
  <c r="AH81" i="2"/>
  <c r="AH43" i="2"/>
  <c r="AH63" i="2"/>
  <c r="AH87" i="2"/>
  <c r="AB88" i="2"/>
  <c r="AA90" i="2"/>
  <c r="AJ94" i="2"/>
  <c r="AI89" i="2"/>
  <c r="AJ89" i="2" s="1"/>
  <c r="AI97" i="2"/>
  <c r="AJ49" i="2"/>
  <c r="AJ43" i="2"/>
  <c r="AJ81" i="2"/>
  <c r="AJ93" i="2"/>
  <c r="AJ92" i="2"/>
  <c r="AJ75" i="2"/>
  <c r="AJ37" i="2"/>
  <c r="AJ31" i="2"/>
  <c r="AJ57" i="2"/>
  <c r="AJ63" i="2"/>
  <c r="AJ69" i="2"/>
  <c r="AJ87" i="2"/>
  <c r="AJ95" i="2"/>
  <c r="AG54" i="2"/>
  <c r="AH54" i="2" s="1"/>
  <c r="AI51" i="2"/>
  <c r="AH51" i="2"/>
  <c r="Y96" i="2"/>
  <c r="Z90" i="2"/>
  <c r="AG55" i="2" l="1"/>
  <c r="AH55" i="2" s="1"/>
  <c r="AI54" i="2"/>
  <c r="AJ51" i="2"/>
  <c r="AD88" i="2"/>
  <c r="AC90" i="2"/>
  <c r="Y99" i="2"/>
  <c r="Z99" i="2" s="1"/>
  <c r="Z96" i="2"/>
  <c r="AA96" i="2"/>
  <c r="AB90" i="2"/>
  <c r="AE88" i="2"/>
  <c r="AF55" i="2"/>
  <c r="AE26" i="2"/>
  <c r="AE27" i="2" s="1"/>
  <c r="AG26" i="2" l="1"/>
  <c r="AG27" i="2" s="1"/>
  <c r="AG88" i="2"/>
  <c r="AF88" i="2"/>
  <c r="AE90" i="2"/>
  <c r="AJ54" i="2"/>
  <c r="AI55" i="2"/>
  <c r="AC96" i="2"/>
  <c r="AD90" i="2"/>
  <c r="AA99" i="2"/>
  <c r="AB99" i="2" s="1"/>
  <c r="AB96" i="2"/>
  <c r="AH88" i="2"/>
  <c r="AG90" i="2"/>
  <c r="AJ55" i="2" l="1"/>
  <c r="AI26" i="2"/>
  <c r="AI27" i="2" s="1"/>
  <c r="AI88" i="2"/>
  <c r="AG96" i="2"/>
  <c r="AH90" i="2"/>
  <c r="AE96" i="2"/>
  <c r="AF90" i="2"/>
  <c r="AC99" i="2"/>
  <c r="AD99" i="2" s="1"/>
  <c r="AD96" i="2"/>
  <c r="AJ88" i="2" l="1"/>
  <c r="AI90" i="2"/>
  <c r="AG99" i="2"/>
  <c r="AH99" i="2" s="1"/>
  <c r="AH96" i="2"/>
  <c r="AE99" i="2"/>
  <c r="AF99" i="2" s="1"/>
  <c r="AF96" i="2"/>
  <c r="AI96" i="2" l="1"/>
  <c r="AJ90" i="2"/>
  <c r="AI99" i="2" l="1"/>
  <c r="AJ99" i="2" s="1"/>
  <c r="AJ96" i="2"/>
</calcChain>
</file>

<file path=xl/sharedStrings.xml><?xml version="1.0" encoding="utf-8"?>
<sst xmlns="http://schemas.openxmlformats.org/spreadsheetml/2006/main" count="128" uniqueCount="55">
  <si>
    <t xml:space="preserve">Departmental Revenues </t>
  </si>
  <si>
    <t xml:space="preserve">Rooms </t>
  </si>
  <si>
    <t xml:space="preserve">Food &amp; Beverage </t>
  </si>
  <si>
    <t xml:space="preserve">Other Operated Departments </t>
  </si>
  <si>
    <t>Misc. Income</t>
  </si>
  <si>
    <t xml:space="preserve">Total Revenue </t>
  </si>
  <si>
    <t>Operating Cash Flow</t>
  </si>
  <si>
    <t>Historical</t>
  </si>
  <si>
    <t>Projected</t>
  </si>
  <si>
    <t>Year</t>
  </si>
  <si>
    <t xml:space="preserve">Days </t>
  </si>
  <si>
    <t xml:space="preserve">Available Rooms </t>
  </si>
  <si>
    <t xml:space="preserve">Occupied Rooms </t>
  </si>
  <si>
    <t xml:space="preserve">Occupancy </t>
  </si>
  <si>
    <t xml:space="preserve">ADR </t>
  </si>
  <si>
    <t xml:space="preserve">ADR Growth </t>
  </si>
  <si>
    <t>-</t>
  </si>
  <si>
    <t xml:space="preserve">RevPAR </t>
  </si>
  <si>
    <t xml:space="preserve">RevPAR Growth </t>
  </si>
  <si>
    <t>TRevPAR</t>
  </si>
  <si>
    <t>TRevPAR Growth</t>
  </si>
  <si>
    <r>
      <rPr>
        <sz val="9"/>
        <color rgb="FFFFFFFF"/>
        <rFont val="Times New Roman"/>
        <family val="1"/>
      </rPr>
      <t xml:space="preserve">$ </t>
    </r>
  </si>
  <si>
    <r>
      <rPr>
        <sz val="9"/>
        <color rgb="FFFFFFFF"/>
        <rFont val="Times New Roman"/>
        <family val="1"/>
      </rPr>
      <t xml:space="preserve">% </t>
    </r>
  </si>
  <si>
    <r>
      <rPr>
        <sz val="9"/>
        <color rgb="FFFFFFFF"/>
        <rFont val="Arial"/>
        <family val="2"/>
      </rPr>
      <t xml:space="preserve">$ </t>
    </r>
  </si>
  <si>
    <r>
      <rPr>
        <sz val="9"/>
        <color rgb="FFFFFFFF"/>
        <rFont val="Arial"/>
        <family val="2"/>
      </rPr>
      <t xml:space="preserve">% </t>
    </r>
  </si>
  <si>
    <t>$/Per Occupied Room</t>
  </si>
  <si>
    <t>Growth Method (Select Method Below)</t>
  </si>
  <si>
    <t>Static</t>
  </si>
  <si>
    <t>Custom Growth (Input Growth For Each Year)</t>
  </si>
  <si>
    <t xml:space="preserve">Departmental Expenses </t>
  </si>
  <si>
    <t>% Fixed</t>
  </si>
  <si>
    <t>% Variable</t>
  </si>
  <si>
    <t>Inflation</t>
  </si>
  <si>
    <t xml:space="preserve">Total Departmental Expenses </t>
  </si>
  <si>
    <t xml:space="preserve">DEPARTMENTAL PROFIT </t>
  </si>
  <si>
    <t xml:space="preserve">Undistributed Expenses </t>
  </si>
  <si>
    <t xml:space="preserve">Admin. &amp; General </t>
  </si>
  <si>
    <t>Custom</t>
  </si>
  <si>
    <t>Information and Telecommunications Systems</t>
  </si>
  <si>
    <t xml:space="preserve">Sales &amp; Marketing </t>
  </si>
  <si>
    <t xml:space="preserve">Prop. Op. &amp; Maintenance </t>
  </si>
  <si>
    <t xml:space="preserve">Utilities </t>
  </si>
  <si>
    <t>Total Undistributed Expenses</t>
  </si>
  <si>
    <t xml:space="preserve">GROSS OPERATING PROFIT </t>
  </si>
  <si>
    <t xml:space="preserve">Management Fee </t>
  </si>
  <si>
    <t>INCOME BEFORE FIXED EXPENSES</t>
  </si>
  <si>
    <t xml:space="preserve">Fixed Expenses </t>
  </si>
  <si>
    <t xml:space="preserve">Property Taxes </t>
  </si>
  <si>
    <t xml:space="preserve">Insurance </t>
  </si>
  <si>
    <t xml:space="preserve">Lease &amp; Rental Expense </t>
  </si>
  <si>
    <t>Total Fixed Expenses</t>
  </si>
  <si>
    <t xml:space="preserve">EBITDA </t>
  </si>
  <si>
    <t xml:space="preserve">Reserve for Replacement </t>
  </si>
  <si>
    <t xml:space="preserve">NET OPERATING INCOME </t>
  </si>
  <si>
    <t>Adventures In CRE - Index Match Match Turorial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</si>
</sst>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\ &quot;Years&quot;"/>
    <numFmt numFmtId="165" formatCode="&quot;Year&quot;\ General"/>
    <numFmt numFmtId="166" formatCode="General\ &quot;Actual&quot;"/>
    <numFmt numFmtId="167" formatCode="&quot;TTM&quot;"/>
    <numFmt numFmtId="168" formatCode="0.0%"/>
    <numFmt numFmtId="169" formatCode="&quot;$&quot;#,##0.00"/>
    <numFmt numFmtId="170" formatCode="_(* #,##0_);_(* \(#,##0\);_(* &quot;-&quot;??_);_(@_)"/>
    <numFmt numFmtId="171" formatCode="&quot;$&quot;#.00\ &quot;POR&quot;"/>
    <numFmt numFmtId="172" formatCode="_(* #,##0.00_);_(* \(#,##0.00\);_(* &quot;-&quot;_);_(@_)"/>
    <numFmt numFmtId="173" formatCode="0.00%\ &quot;of Gross Revenue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</font>
    <font>
      <b/>
      <u/>
      <sz val="15"/>
      <color theme="1"/>
      <name val="Arial"/>
      <family val="2"/>
    </font>
    <font>
      <sz val="9"/>
      <color rgb="FF0000FF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0"/>
      <name val="Arial"/>
      <family val="2"/>
    </font>
    <font>
      <sz val="9"/>
      <color theme="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7"/>
      <color rgb="FFFF0000"/>
      <name val="Times New Roman"/>
      <family val="1"/>
    </font>
    <font>
      <sz val="9"/>
      <color rgb="FF0000FF"/>
      <name val="Times New Roman"/>
      <family val="1"/>
    </font>
    <font>
      <sz val="9"/>
      <color rgb="FFFFFFFF"/>
      <name val="Times New Roman"/>
      <family val="1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u/>
      <sz val="9"/>
      <color theme="1"/>
      <name val="Arial"/>
      <family val="2"/>
    </font>
    <font>
      <u/>
      <sz val="9"/>
      <color rgb="FF0000FF"/>
      <name val="Times New Roman"/>
      <family val="1"/>
    </font>
    <font>
      <u/>
      <sz val="9"/>
      <name val="Times New Roman"/>
      <family val="1"/>
    </font>
    <font>
      <u val="singleAccounting"/>
      <sz val="9"/>
      <name val="Arial"/>
      <family val="2"/>
    </font>
    <font>
      <u val="singleAccounting"/>
      <sz val="9"/>
      <color rgb="FF0000FF"/>
      <name val="Times New Roman"/>
      <family val="1"/>
    </font>
    <font>
      <u/>
      <sz val="9"/>
      <color rgb="FF0000FF"/>
      <name val="Arial"/>
      <family val="2"/>
    </font>
    <font>
      <u/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E0E1E7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E0E1E7"/>
      </right>
      <top/>
      <bottom/>
      <diagonal/>
    </border>
    <border>
      <left style="thin">
        <color rgb="FFE0E1E7"/>
      </left>
      <right style="thin">
        <color rgb="FFE0E1E7"/>
      </right>
      <top/>
      <bottom/>
      <diagonal/>
    </border>
    <border>
      <left/>
      <right style="thin">
        <color rgb="FFE0E1E7"/>
      </right>
      <top/>
      <bottom/>
      <diagonal/>
    </border>
    <border>
      <left style="thin">
        <color rgb="FF385778"/>
      </left>
      <right style="thin">
        <color rgb="FFE0E1E7"/>
      </right>
      <top/>
      <bottom/>
      <diagonal/>
    </border>
    <border>
      <left style="thin">
        <color rgb="FFE0E1E7"/>
      </left>
      <right style="thin">
        <color indexed="64"/>
      </right>
      <top/>
      <bottom/>
      <diagonal/>
    </border>
    <border>
      <left style="thin">
        <color rgb="FFE0E1E7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8B96AD"/>
      </top>
      <bottom style="thin">
        <color rgb="FF8B96AD"/>
      </bottom>
      <diagonal/>
    </border>
    <border>
      <left style="thin">
        <color rgb="FF385778"/>
      </left>
      <right/>
      <top style="thin">
        <color rgb="FF8B96AD"/>
      </top>
      <bottom style="thin">
        <color rgb="FF8B96AD"/>
      </bottom>
      <diagonal/>
    </border>
    <border>
      <left style="thin">
        <color indexed="64"/>
      </left>
      <right/>
      <top style="thin">
        <color rgb="FF8B96AD"/>
      </top>
      <bottom style="thin">
        <color rgb="FF8B96AD"/>
      </bottom>
      <diagonal/>
    </border>
    <border>
      <left style="medium">
        <color indexed="64"/>
      </left>
      <right/>
      <top style="thin">
        <color rgb="FFFFFFFF"/>
      </top>
      <bottom style="thin">
        <color rgb="FF8B96AD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0" borderId="6" xfId="0" applyBorder="1"/>
    <xf numFmtId="0" fontId="4" fillId="3" borderId="0" xfId="2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2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6" fillId="3" borderId="0" xfId="0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centerContinuous" vertical="top" wrapText="1"/>
    </xf>
    <xf numFmtId="0" fontId="8" fillId="4" borderId="7" xfId="2" applyFont="1" applyFill="1" applyBorder="1" applyAlignment="1">
      <alignment horizontal="centerContinuous" vertical="top" wrapText="1"/>
    </xf>
    <xf numFmtId="0" fontId="9" fillId="4" borderId="7" xfId="2" applyFont="1" applyFill="1" applyBorder="1" applyAlignment="1">
      <alignment horizontal="centerContinuous" vertical="center"/>
    </xf>
    <xf numFmtId="0" fontId="8" fillId="4" borderId="8" xfId="2" applyFont="1" applyFill="1" applyBorder="1" applyAlignment="1">
      <alignment horizontal="centerContinuous" vertical="center"/>
    </xf>
    <xf numFmtId="0" fontId="8" fillId="3" borderId="0" xfId="2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5" borderId="1" xfId="2" applyFont="1" applyFill="1" applyBorder="1" applyAlignment="1">
      <alignment horizontal="centerContinuous" vertical="top" wrapText="1"/>
    </xf>
    <xf numFmtId="0" fontId="4" fillId="5" borderId="7" xfId="2" applyFont="1" applyFill="1" applyBorder="1" applyAlignment="1">
      <alignment horizontal="centerContinuous" vertical="center" wrapText="1"/>
    </xf>
    <xf numFmtId="0" fontId="4" fillId="5" borderId="8" xfId="2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0" fillId="6" borderId="9" xfId="2" applyFont="1" applyFill="1" applyBorder="1" applyAlignment="1">
      <alignment vertical="center" wrapText="1"/>
    </xf>
    <xf numFmtId="0" fontId="10" fillId="6" borderId="10" xfId="2" applyFont="1" applyFill="1" applyBorder="1" applyAlignment="1">
      <alignment vertical="center" wrapText="1"/>
    </xf>
    <xf numFmtId="0" fontId="10" fillId="6" borderId="11" xfId="2" applyFont="1" applyFill="1" applyBorder="1" applyAlignment="1">
      <alignment vertical="center" wrapText="1"/>
    </xf>
    <xf numFmtId="0" fontId="10" fillId="6" borderId="12" xfId="2" applyFont="1" applyFill="1" applyBorder="1" applyAlignment="1">
      <alignment vertical="center" wrapText="1"/>
    </xf>
    <xf numFmtId="0" fontId="10" fillId="7" borderId="11" xfId="2" applyFont="1" applyFill="1" applyBorder="1" applyAlignment="1">
      <alignment vertical="center" wrapText="1"/>
    </xf>
    <xf numFmtId="0" fontId="10" fillId="8" borderId="11" xfId="2" applyFont="1" applyFill="1" applyBorder="1" applyAlignment="1">
      <alignment vertical="center" wrapText="1"/>
    </xf>
    <xf numFmtId="165" fontId="10" fillId="6" borderId="10" xfId="2" applyNumberFormat="1" applyFont="1" applyFill="1" applyBorder="1" applyAlignment="1">
      <alignment horizontal="center" vertical="center" wrapText="1"/>
    </xf>
    <xf numFmtId="165" fontId="10" fillId="6" borderId="11" xfId="2" applyNumberFormat="1" applyFont="1" applyFill="1" applyBorder="1" applyAlignment="1">
      <alignment horizontal="centerContinuous" vertical="center" wrapText="1"/>
    </xf>
    <xf numFmtId="165" fontId="10" fillId="6" borderId="13" xfId="2" applyNumberFormat="1" applyFont="1" applyFill="1" applyBorder="1" applyAlignment="1">
      <alignment horizontal="centerContinuous" vertical="center" wrapText="1"/>
    </xf>
    <xf numFmtId="0" fontId="10" fillId="6" borderId="14" xfId="2" applyFont="1" applyFill="1" applyBorder="1" applyAlignment="1">
      <alignment vertical="center" wrapText="1"/>
    </xf>
    <xf numFmtId="0" fontId="10" fillId="6" borderId="2" xfId="2" applyFont="1" applyFill="1" applyBorder="1" applyAlignment="1">
      <alignment vertical="center" wrapText="1"/>
    </xf>
    <xf numFmtId="0" fontId="10" fillId="6" borderId="0" xfId="2" applyFont="1" applyFill="1" applyAlignment="1">
      <alignment vertical="center" wrapText="1"/>
    </xf>
    <xf numFmtId="0" fontId="10" fillId="6" borderId="15" xfId="2" applyFont="1" applyFill="1" applyBorder="1" applyAlignment="1">
      <alignment vertical="center" wrapText="1"/>
    </xf>
    <xf numFmtId="0" fontId="10" fillId="7" borderId="0" xfId="2" applyFont="1" applyFill="1" applyAlignment="1">
      <alignment vertical="center" wrapText="1"/>
    </xf>
    <xf numFmtId="0" fontId="10" fillId="8" borderId="0" xfId="2" applyFont="1" applyFill="1" applyAlignment="1">
      <alignment vertical="center" wrapText="1"/>
    </xf>
    <xf numFmtId="165" fontId="10" fillId="6" borderId="2" xfId="2" applyNumberFormat="1" applyFont="1" applyFill="1" applyBorder="1" applyAlignment="1">
      <alignment horizontal="center" vertical="center" wrapText="1"/>
    </xf>
    <xf numFmtId="165" fontId="10" fillId="6" borderId="0" xfId="2" applyNumberFormat="1" applyFont="1" applyFill="1" applyAlignment="1">
      <alignment horizontal="centerContinuous" vertical="center" wrapText="1"/>
    </xf>
    <xf numFmtId="165" fontId="10" fillId="6" borderId="16" xfId="2" applyNumberFormat="1" applyFont="1" applyFill="1" applyBorder="1" applyAlignment="1">
      <alignment horizontal="centerContinuous" vertical="center" wrapText="1"/>
    </xf>
    <xf numFmtId="166" fontId="11" fillId="6" borderId="2" xfId="2" applyNumberFormat="1" applyFont="1" applyFill="1" applyBorder="1" applyAlignment="1">
      <alignment horizontal="centerContinuous" vertical="top" wrapText="1"/>
    </xf>
    <xf numFmtId="166" fontId="9" fillId="6" borderId="0" xfId="2" applyNumberFormat="1" applyFont="1" applyFill="1" applyAlignment="1">
      <alignment horizontal="centerContinuous" vertical="top" wrapText="1"/>
    </xf>
    <xf numFmtId="166" fontId="9" fillId="6" borderId="15" xfId="2" applyNumberFormat="1" applyFont="1" applyFill="1" applyBorder="1" applyAlignment="1">
      <alignment horizontal="centerContinuous" vertical="top" wrapText="1"/>
    </xf>
    <xf numFmtId="166" fontId="11" fillId="6" borderId="0" xfId="2" applyNumberFormat="1" applyFont="1" applyFill="1" applyAlignment="1">
      <alignment horizontal="centerContinuous" vertical="top" wrapText="1"/>
    </xf>
    <xf numFmtId="167" fontId="11" fillId="6" borderId="2" xfId="2" applyNumberFormat="1" applyFont="1" applyFill="1" applyBorder="1" applyAlignment="1">
      <alignment horizontal="left" vertical="top"/>
    </xf>
    <xf numFmtId="166" fontId="9" fillId="6" borderId="15" xfId="2" applyNumberFormat="1" applyFont="1" applyFill="1" applyBorder="1" applyAlignment="1">
      <alignment horizontal="left" vertical="top" wrapText="1"/>
    </xf>
    <xf numFmtId="166" fontId="9" fillId="7" borderId="0" xfId="2" applyNumberFormat="1" applyFont="1" applyFill="1" applyAlignment="1">
      <alignment horizontal="centerContinuous" vertical="top" wrapText="1"/>
    </xf>
    <xf numFmtId="0" fontId="10" fillId="6" borderId="2" xfId="2" applyFont="1" applyFill="1" applyBorder="1" applyAlignment="1">
      <alignment horizontal="center" vertical="center" wrapText="1"/>
    </xf>
    <xf numFmtId="0" fontId="10" fillId="6" borderId="0" xfId="2" applyFont="1" applyFill="1" applyAlignment="1">
      <alignment horizontal="centerContinuous" vertical="center" wrapText="1"/>
    </xf>
    <xf numFmtId="0" fontId="10" fillId="6" borderId="16" xfId="2" applyFont="1" applyFill="1" applyBorder="1" applyAlignment="1">
      <alignment horizontal="centerContinuous" vertical="center" wrapText="1"/>
    </xf>
    <xf numFmtId="0" fontId="4" fillId="2" borderId="14" xfId="2" applyFont="1" applyFill="1" applyBorder="1" applyAlignment="1">
      <alignment vertical="center" wrapText="1"/>
    </xf>
    <xf numFmtId="0" fontId="12" fillId="2" borderId="2" xfId="2" applyFont="1" applyFill="1" applyBorder="1" applyAlignment="1">
      <alignment horizontal="center" vertical="top" wrapText="1"/>
    </xf>
    <xf numFmtId="0" fontId="12" fillId="2" borderId="0" xfId="2" applyFont="1" applyFill="1" applyAlignment="1">
      <alignment horizontal="centerContinuous" vertical="top" wrapText="1"/>
    </xf>
    <xf numFmtId="0" fontId="12" fillId="2" borderId="15" xfId="2" applyFont="1" applyFill="1" applyBorder="1" applyAlignment="1">
      <alignment horizontal="centerContinuous" vertical="top" wrapText="1"/>
    </xf>
    <xf numFmtId="0" fontId="12" fillId="7" borderId="0" xfId="2" applyFont="1" applyFill="1" applyAlignment="1">
      <alignment horizontal="centerContinuous" vertical="top" wrapText="1"/>
    </xf>
    <xf numFmtId="0" fontId="13" fillId="2" borderId="0" xfId="2" applyFont="1" applyFill="1" applyAlignment="1">
      <alignment vertical="center" wrapText="1"/>
    </xf>
    <xf numFmtId="0" fontId="13" fillId="2" borderId="0" xfId="2" applyFont="1" applyFill="1" applyAlignment="1">
      <alignment horizontal="centerContinuous" vertical="center" wrapText="1"/>
    </xf>
    <xf numFmtId="0" fontId="13" fillId="2" borderId="16" xfId="2" applyFont="1" applyFill="1" applyBorder="1" applyAlignment="1">
      <alignment horizontal="centerContinuous" vertical="center" wrapText="1"/>
    </xf>
    <xf numFmtId="0" fontId="14" fillId="2" borderId="2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horizontal="centerContinuous" vertical="top" wrapText="1"/>
    </xf>
    <xf numFmtId="0" fontId="9" fillId="2" borderId="0" xfId="2" applyFont="1" applyFill="1" applyAlignment="1">
      <alignment horizontal="center" vertical="top"/>
    </xf>
    <xf numFmtId="0" fontId="9" fillId="7" borderId="0" xfId="2" applyFont="1" applyFill="1" applyAlignment="1">
      <alignment horizontal="center" vertical="top"/>
    </xf>
    <xf numFmtId="0" fontId="4" fillId="2" borderId="0" xfId="2" applyFont="1" applyFill="1" applyAlignment="1">
      <alignment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Continuous" vertical="center" wrapText="1"/>
    </xf>
    <xf numFmtId="0" fontId="4" fillId="2" borderId="16" xfId="2" applyFont="1" applyFill="1" applyBorder="1" applyAlignment="1">
      <alignment horizontal="centerContinuous" vertical="center" wrapText="1"/>
    </xf>
    <xf numFmtId="3" fontId="12" fillId="2" borderId="2" xfId="2" applyNumberFormat="1" applyFont="1" applyFill="1" applyBorder="1" applyAlignment="1">
      <alignment horizontal="center" vertical="top" wrapText="1"/>
    </xf>
    <xf numFmtId="0" fontId="16" fillId="2" borderId="0" xfId="2" applyFont="1" applyFill="1" applyAlignment="1">
      <alignment horizontal="centerContinuous" vertical="top" wrapText="1"/>
    </xf>
    <xf numFmtId="0" fontId="17" fillId="2" borderId="0" xfId="2" applyFont="1" applyFill="1" applyAlignment="1">
      <alignment horizontal="center" vertical="center" wrapText="1"/>
    </xf>
    <xf numFmtId="0" fontId="17" fillId="7" borderId="0" xfId="2" applyFont="1" applyFill="1" applyAlignment="1">
      <alignment horizontal="center" vertical="center" wrapText="1"/>
    </xf>
    <xf numFmtId="3" fontId="13" fillId="2" borderId="2" xfId="2" applyNumberFormat="1" applyFont="1" applyFill="1" applyBorder="1" applyAlignment="1">
      <alignment horizontal="center" vertical="center" wrapText="1"/>
    </xf>
    <xf numFmtId="3" fontId="17" fillId="2" borderId="2" xfId="2" applyNumberFormat="1" applyFont="1" applyFill="1" applyBorder="1" applyAlignment="1">
      <alignment horizontal="center" vertical="top" wrapText="1"/>
    </xf>
    <xf numFmtId="0" fontId="9" fillId="2" borderId="15" xfId="2" applyFont="1" applyFill="1" applyBorder="1" applyAlignment="1">
      <alignment horizontal="centerContinuous" vertical="top" wrapText="1"/>
    </xf>
    <xf numFmtId="0" fontId="9" fillId="7" borderId="0" xfId="2" applyFont="1" applyFill="1" applyAlignment="1">
      <alignment horizontal="centerContinuous" vertical="top" wrapText="1"/>
    </xf>
    <xf numFmtId="168" fontId="9" fillId="2" borderId="2" xfId="2" applyNumberFormat="1" applyFont="1" applyFill="1" applyBorder="1" applyAlignment="1">
      <alignment horizontal="center" vertical="top" wrapText="1"/>
    </xf>
    <xf numFmtId="168" fontId="6" fillId="2" borderId="2" xfId="2" applyNumberFormat="1" applyFont="1" applyFill="1" applyBorder="1" applyAlignment="1">
      <alignment horizontal="center" vertical="center" wrapText="1"/>
    </xf>
    <xf numFmtId="169" fontId="12" fillId="2" borderId="2" xfId="3" applyNumberFormat="1" applyFont="1" applyFill="1" applyBorder="1" applyAlignment="1">
      <alignment horizontal="center" vertical="top" wrapText="1"/>
    </xf>
    <xf numFmtId="169" fontId="13" fillId="2" borderId="2" xfId="3" applyNumberFormat="1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left" vertical="center" wrapText="1"/>
    </xf>
    <xf numFmtId="9" fontId="12" fillId="2" borderId="2" xfId="1" applyFont="1" applyFill="1" applyBorder="1" applyAlignment="1">
      <alignment horizontal="center" vertical="top" wrapText="1"/>
    </xf>
    <xf numFmtId="169" fontId="9" fillId="2" borderId="0" xfId="2" applyNumberFormat="1" applyFont="1" applyFill="1" applyAlignment="1">
      <alignment horizontal="centerContinuous" vertical="top" wrapText="1"/>
    </xf>
    <xf numFmtId="10" fontId="12" fillId="2" borderId="2" xfId="4" applyNumberFormat="1" applyFont="1" applyFill="1" applyBorder="1" applyAlignment="1">
      <alignment horizontal="center" vertical="top" wrapText="1"/>
    </xf>
    <xf numFmtId="0" fontId="4" fillId="2" borderId="0" xfId="2" applyFont="1" applyFill="1" applyAlignment="1">
      <alignment horizontal="left" vertical="center" wrapText="1"/>
    </xf>
    <xf numFmtId="10" fontId="6" fillId="2" borderId="2" xfId="4" applyNumberFormat="1" applyFont="1" applyFill="1" applyBorder="1" applyAlignment="1">
      <alignment horizontal="center" vertical="center" wrapText="1"/>
    </xf>
    <xf numFmtId="169" fontId="4" fillId="2" borderId="0" xfId="2" applyNumberFormat="1" applyFont="1" applyFill="1" applyAlignment="1">
      <alignment horizontal="centerContinuous" vertical="center" wrapText="1"/>
    </xf>
    <xf numFmtId="169" fontId="12" fillId="2" borderId="2" xfId="2" applyNumberFormat="1" applyFont="1" applyFill="1" applyBorder="1" applyAlignment="1">
      <alignment horizontal="center" vertical="top" wrapText="1"/>
    </xf>
    <xf numFmtId="169" fontId="13" fillId="2" borderId="2" xfId="2" applyNumberFormat="1" applyFont="1" applyFill="1" applyBorder="1" applyAlignment="1">
      <alignment horizontal="center" vertical="center" wrapText="1"/>
    </xf>
    <xf numFmtId="10" fontId="13" fillId="2" borderId="2" xfId="4" applyNumberFormat="1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10" fontId="13" fillId="2" borderId="6" xfId="4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Continuous" vertical="center" wrapText="1"/>
    </xf>
    <xf numFmtId="0" fontId="4" fillId="2" borderId="18" xfId="2" applyFont="1" applyFill="1" applyBorder="1" applyAlignment="1">
      <alignment horizontal="centerContinuous" vertical="center" wrapText="1"/>
    </xf>
    <xf numFmtId="0" fontId="4" fillId="6" borderId="14" xfId="2" applyFont="1" applyFill="1" applyBorder="1" applyAlignment="1">
      <alignment vertical="center" wrapText="1"/>
    </xf>
    <xf numFmtId="0" fontId="9" fillId="6" borderId="2" xfId="2" applyFont="1" applyFill="1" applyBorder="1" applyAlignment="1">
      <alignment horizontal="right" vertical="center" wrapText="1"/>
    </xf>
    <xf numFmtId="0" fontId="9" fillId="6" borderId="0" xfId="2" applyFont="1" applyFill="1" applyAlignment="1">
      <alignment horizontal="right" vertical="center" wrapText="1"/>
    </xf>
    <xf numFmtId="0" fontId="9" fillId="6" borderId="15" xfId="2" applyFont="1" applyFill="1" applyBorder="1" applyAlignment="1">
      <alignment horizontal="right" vertical="center" wrapText="1"/>
    </xf>
    <xf numFmtId="0" fontId="9" fillId="7" borderId="0" xfId="2" applyFont="1" applyFill="1" applyAlignment="1">
      <alignment horizontal="right" vertical="center" wrapText="1"/>
    </xf>
    <xf numFmtId="0" fontId="4" fillId="8" borderId="0" xfId="2" applyFont="1" applyFill="1" applyAlignment="1">
      <alignment vertical="center" wrapText="1"/>
    </xf>
    <xf numFmtId="0" fontId="4" fillId="6" borderId="2" xfId="2" applyFont="1" applyFill="1" applyBorder="1" applyAlignment="1">
      <alignment horizontal="right" vertical="center" wrapText="1"/>
    </xf>
    <xf numFmtId="0" fontId="4" fillId="6" borderId="0" xfId="2" applyFont="1" applyFill="1" applyAlignment="1">
      <alignment horizontal="right" vertical="center" wrapText="1"/>
    </xf>
    <xf numFmtId="0" fontId="4" fillId="6" borderId="16" xfId="2" applyFont="1" applyFill="1" applyBorder="1" applyAlignment="1">
      <alignment horizontal="right" vertical="center" wrapText="1"/>
    </xf>
    <xf numFmtId="0" fontId="20" fillId="9" borderId="14" xfId="2" applyFont="1" applyFill="1" applyBorder="1" applyAlignment="1">
      <alignment vertical="center"/>
    </xf>
    <xf numFmtId="0" fontId="9" fillId="3" borderId="19" xfId="2" applyFont="1" applyFill="1" applyBorder="1" applyAlignment="1">
      <alignment horizontal="right" vertical="top" wrapText="1"/>
    </xf>
    <xf numFmtId="0" fontId="9" fillId="3" borderId="20" xfId="2" applyFont="1" applyFill="1" applyBorder="1" applyAlignment="1">
      <alignment horizontal="left" vertical="top" wrapText="1"/>
    </xf>
    <xf numFmtId="0" fontId="9" fillId="9" borderId="21" xfId="2" applyFont="1" applyFill="1" applyBorder="1" applyAlignment="1">
      <alignment horizontal="right" vertical="top" wrapText="1"/>
    </xf>
    <xf numFmtId="0" fontId="9" fillId="9" borderId="20" xfId="2" applyFont="1" applyFill="1" applyBorder="1" applyAlignment="1">
      <alignment horizontal="left" vertical="top" wrapText="1"/>
    </xf>
    <xf numFmtId="0" fontId="9" fillId="9" borderId="22" xfId="2" applyFont="1" applyFill="1" applyBorder="1" applyAlignment="1">
      <alignment horizontal="right" vertical="top" wrapText="1"/>
    </xf>
    <xf numFmtId="0" fontId="9" fillId="9" borderId="23" xfId="2" applyFont="1" applyFill="1" applyBorder="1" applyAlignment="1">
      <alignment horizontal="left" vertical="top" wrapText="1"/>
    </xf>
    <xf numFmtId="0" fontId="9" fillId="7" borderId="0" xfId="2" applyFont="1" applyFill="1" applyAlignment="1">
      <alignment horizontal="left" vertical="top" wrapText="1"/>
    </xf>
    <xf numFmtId="0" fontId="20" fillId="9" borderId="0" xfId="2" applyFont="1" applyFill="1" applyAlignment="1">
      <alignment vertical="center"/>
    </xf>
    <xf numFmtId="0" fontId="4" fillId="9" borderId="19" xfId="2" applyFont="1" applyFill="1" applyBorder="1" applyAlignment="1">
      <alignment horizontal="right" vertical="center" wrapText="1"/>
    </xf>
    <xf numFmtId="0" fontId="4" fillId="9" borderId="20" xfId="2" applyFont="1" applyFill="1" applyBorder="1" applyAlignment="1">
      <alignment horizontal="left" vertical="center" wrapText="1"/>
    </xf>
    <xf numFmtId="0" fontId="4" fillId="9" borderId="22" xfId="2" applyFont="1" applyFill="1" applyBorder="1" applyAlignment="1">
      <alignment horizontal="right" vertical="center" wrapText="1"/>
    </xf>
    <xf numFmtId="0" fontId="4" fillId="9" borderId="24" xfId="2" applyFont="1" applyFill="1" applyBorder="1" applyAlignment="1">
      <alignment horizontal="left" vertical="center" wrapText="1"/>
    </xf>
    <xf numFmtId="0" fontId="4" fillId="2" borderId="14" xfId="2" applyFont="1" applyFill="1" applyBorder="1" applyAlignment="1">
      <alignment horizontal="left" vertical="center"/>
    </xf>
    <xf numFmtId="170" fontId="17" fillId="2" borderId="2" xfId="2" applyNumberFormat="1" applyFont="1" applyFill="1" applyBorder="1" applyAlignment="1">
      <alignment horizontal="right" vertical="top" wrapText="1"/>
    </xf>
    <xf numFmtId="168" fontId="12" fillId="2" borderId="0" xfId="4" applyNumberFormat="1" applyFont="1" applyFill="1" applyBorder="1" applyAlignment="1">
      <alignment horizontal="right" vertical="top" wrapText="1"/>
    </xf>
    <xf numFmtId="168" fontId="12" fillId="2" borderId="15" xfId="4" applyNumberFormat="1" applyFont="1" applyFill="1" applyBorder="1" applyAlignment="1">
      <alignment horizontal="right" vertical="top" wrapText="1"/>
    </xf>
    <xf numFmtId="168" fontId="12" fillId="7" borderId="0" xfId="4" applyNumberFormat="1" applyFont="1" applyFill="1" applyBorder="1" applyAlignment="1">
      <alignment horizontal="right" vertical="top" wrapText="1"/>
    </xf>
    <xf numFmtId="0" fontId="4" fillId="2" borderId="0" xfId="2" applyFont="1" applyFill="1" applyAlignment="1">
      <alignment horizontal="left" vertical="center"/>
    </xf>
    <xf numFmtId="170" fontId="13" fillId="2" borderId="2" xfId="2" applyNumberFormat="1" applyFont="1" applyFill="1" applyBorder="1" applyAlignment="1">
      <alignment horizontal="right" vertical="center" wrapText="1"/>
    </xf>
    <xf numFmtId="168" fontId="13" fillId="2" borderId="0" xfId="4" applyNumberFormat="1" applyFont="1" applyFill="1" applyBorder="1" applyAlignment="1">
      <alignment horizontal="right" vertical="center" wrapText="1"/>
    </xf>
    <xf numFmtId="168" fontId="13" fillId="2" borderId="16" xfId="4" applyNumberFormat="1" applyFont="1" applyFill="1" applyBorder="1" applyAlignment="1">
      <alignment horizontal="right" vertical="center" wrapText="1"/>
    </xf>
    <xf numFmtId="41" fontId="17" fillId="2" borderId="2" xfId="2" applyNumberFormat="1" applyFont="1" applyFill="1" applyBorder="1" applyAlignment="1">
      <alignment horizontal="right" vertical="top" wrapText="1"/>
    </xf>
    <xf numFmtId="41" fontId="13" fillId="2" borderId="2" xfId="2" applyNumberFormat="1" applyFont="1" applyFill="1" applyBorder="1" applyAlignment="1">
      <alignment horizontal="right" vertical="center" wrapText="1"/>
    </xf>
    <xf numFmtId="41" fontId="13" fillId="2" borderId="0" xfId="2" applyNumberFormat="1" applyFont="1" applyFill="1" applyAlignment="1">
      <alignment horizontal="right" vertical="center" wrapText="1"/>
    </xf>
    <xf numFmtId="0" fontId="0" fillId="2" borderId="1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vertical="center"/>
    </xf>
    <xf numFmtId="171" fontId="13" fillId="2" borderId="2" xfId="2" applyNumberFormat="1" applyFont="1" applyFill="1" applyBorder="1" applyAlignment="1">
      <alignment horizontal="right" vertical="center" wrapText="1"/>
    </xf>
    <xf numFmtId="0" fontId="0" fillId="2" borderId="15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21" fillId="3" borderId="25" xfId="2" applyFont="1" applyFill="1" applyBorder="1" applyAlignment="1">
      <alignment horizontal="centerContinuous" vertical="center"/>
    </xf>
    <xf numFmtId="0" fontId="21" fillId="3" borderId="7" xfId="2" applyFont="1" applyFill="1" applyBorder="1" applyAlignment="1">
      <alignment horizontal="centerContinuous" vertical="center"/>
    </xf>
    <xf numFmtId="172" fontId="6" fillId="2" borderId="1" xfId="2" applyNumberFormat="1" applyFont="1" applyFill="1" applyBorder="1" applyAlignment="1">
      <alignment horizontal="right" vertical="center" wrapText="1"/>
    </xf>
    <xf numFmtId="168" fontId="13" fillId="2" borderId="7" xfId="4" applyNumberFormat="1" applyFont="1" applyFill="1" applyBorder="1" applyAlignment="1">
      <alignment horizontal="right" vertical="center" wrapText="1"/>
    </xf>
    <xf numFmtId="172" fontId="13" fillId="3" borderId="7" xfId="2" applyNumberFormat="1" applyFont="1" applyFill="1" applyBorder="1" applyAlignment="1">
      <alignment horizontal="right" vertical="center" wrapText="1"/>
    </xf>
    <xf numFmtId="168" fontId="13" fillId="3" borderId="7" xfId="4" applyNumberFormat="1" applyFont="1" applyFill="1" applyBorder="1" applyAlignment="1">
      <alignment horizontal="right" vertical="center" wrapText="1"/>
    </xf>
    <xf numFmtId="168" fontId="13" fillId="3" borderId="26" xfId="4" applyNumberFormat="1" applyFont="1" applyFill="1" applyBorder="1" applyAlignment="1">
      <alignment horizontal="right" vertical="center" wrapText="1"/>
    </xf>
    <xf numFmtId="0" fontId="21" fillId="3" borderId="27" xfId="2" applyFont="1" applyFill="1" applyBorder="1" applyAlignment="1">
      <alignment horizontal="center" vertical="center"/>
    </xf>
    <xf numFmtId="10" fontId="22" fillId="10" borderId="4" xfId="2" applyNumberFormat="1" applyFont="1" applyFill="1" applyBorder="1" applyAlignment="1">
      <alignment horizontal="center" vertical="center"/>
    </xf>
    <xf numFmtId="10" fontId="13" fillId="7" borderId="6" xfId="2" applyNumberFormat="1" applyFont="1" applyFill="1" applyBorder="1" applyAlignment="1">
      <alignment horizontal="right" vertical="center" wrapText="1"/>
    </xf>
    <xf numFmtId="168" fontId="13" fillId="7" borderId="4" xfId="4" applyNumberFormat="1" applyFont="1" applyFill="1" applyBorder="1" applyAlignment="1">
      <alignment horizontal="right" vertical="center" wrapText="1"/>
    </xf>
    <xf numFmtId="10" fontId="13" fillId="3" borderId="4" xfId="2" applyNumberFormat="1" applyFont="1" applyFill="1" applyBorder="1" applyAlignment="1">
      <alignment horizontal="right" vertical="center" wrapText="1"/>
    </xf>
    <xf numFmtId="168" fontId="13" fillId="3" borderId="4" xfId="4" applyNumberFormat="1" applyFont="1" applyFill="1" applyBorder="1" applyAlignment="1">
      <alignment horizontal="right" vertical="center" wrapText="1"/>
    </xf>
    <xf numFmtId="168" fontId="13" fillId="3" borderId="18" xfId="4" applyNumberFormat="1" applyFont="1" applyFill="1" applyBorder="1" applyAlignment="1">
      <alignment horizontal="right" vertical="center" wrapText="1"/>
    </xf>
    <xf numFmtId="0" fontId="22" fillId="10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left" vertical="center"/>
    </xf>
    <xf numFmtId="10" fontId="6" fillId="7" borderId="6" xfId="2" applyNumberFormat="1" applyFont="1" applyFill="1" applyBorder="1" applyAlignment="1">
      <alignment horizontal="right" vertical="center" wrapText="1"/>
    </xf>
    <xf numFmtId="168" fontId="6" fillId="7" borderId="4" xfId="4" applyNumberFormat="1" applyFont="1" applyFill="1" applyBorder="1" applyAlignment="1">
      <alignment horizontal="right" vertical="center" wrapText="1"/>
    </xf>
    <xf numFmtId="10" fontId="6" fillId="10" borderId="4" xfId="2" applyNumberFormat="1" applyFont="1" applyFill="1" applyBorder="1" applyAlignment="1">
      <alignment horizontal="right" vertical="center" wrapText="1"/>
    </xf>
    <xf numFmtId="168" fontId="6" fillId="10" borderId="4" xfId="4" applyNumberFormat="1" applyFont="1" applyFill="1" applyBorder="1" applyAlignment="1">
      <alignment horizontal="right" vertical="center" wrapText="1"/>
    </xf>
    <xf numFmtId="168" fontId="6" fillId="10" borderId="18" xfId="4" applyNumberFormat="1" applyFont="1" applyFill="1" applyBorder="1" applyAlignment="1">
      <alignment horizontal="right" vertical="center" wrapText="1"/>
    </xf>
    <xf numFmtId="0" fontId="0" fillId="2" borderId="1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22" fillId="2" borderId="4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left" vertical="center"/>
    </xf>
    <xf numFmtId="10" fontId="6" fillId="2" borderId="6" xfId="2" applyNumberFormat="1" applyFont="1" applyFill="1" applyBorder="1" applyAlignment="1">
      <alignment horizontal="right" vertical="center" wrapText="1"/>
    </xf>
    <xf numFmtId="168" fontId="6" fillId="2" borderId="4" xfId="4" applyNumberFormat="1" applyFont="1" applyFill="1" applyBorder="1" applyAlignment="1">
      <alignment horizontal="right" vertical="center" wrapText="1"/>
    </xf>
    <xf numFmtId="10" fontId="6" fillId="2" borderId="4" xfId="2" applyNumberFormat="1" applyFont="1" applyFill="1" applyBorder="1" applyAlignment="1">
      <alignment horizontal="right" vertical="center" wrapText="1"/>
    </xf>
    <xf numFmtId="168" fontId="6" fillId="2" borderId="18" xfId="4" applyNumberFormat="1" applyFont="1" applyFill="1" applyBorder="1" applyAlignment="1">
      <alignment horizontal="right" vertical="center" wrapText="1"/>
    </xf>
    <xf numFmtId="0" fontId="21" fillId="3" borderId="25" xfId="2" applyFont="1" applyFill="1" applyBorder="1" applyAlignment="1">
      <alignment horizontal="center" vertical="center"/>
    </xf>
    <xf numFmtId="0" fontId="21" fillId="3" borderId="7" xfId="2" applyFont="1" applyFill="1" applyBorder="1" applyAlignment="1">
      <alignment horizontal="left" vertical="center"/>
    </xf>
    <xf numFmtId="0" fontId="23" fillId="2" borderId="14" xfId="2" applyFont="1" applyFill="1" applyBorder="1" applyAlignment="1">
      <alignment horizontal="left" vertical="center"/>
    </xf>
    <xf numFmtId="41" fontId="24" fillId="2" borderId="2" xfId="2" applyNumberFormat="1" applyFont="1" applyFill="1" applyBorder="1" applyAlignment="1">
      <alignment horizontal="right" vertical="top" wrapText="1"/>
    </xf>
    <xf numFmtId="168" fontId="25" fillId="2" borderId="0" xfId="4" applyNumberFormat="1" applyFont="1" applyFill="1" applyBorder="1" applyAlignment="1">
      <alignment horizontal="right" vertical="top" wrapText="1"/>
    </xf>
    <xf numFmtId="168" fontId="25" fillId="2" borderId="15" xfId="4" applyNumberFormat="1" applyFont="1" applyFill="1" applyBorder="1" applyAlignment="1">
      <alignment horizontal="right" vertical="top" wrapText="1"/>
    </xf>
    <xf numFmtId="168" fontId="25" fillId="7" borderId="0" xfId="4" applyNumberFormat="1" applyFont="1" applyFill="1" applyBorder="1" applyAlignment="1">
      <alignment horizontal="right" vertical="top" wrapText="1"/>
    </xf>
    <xf numFmtId="0" fontId="23" fillId="2" borderId="0" xfId="2" applyFont="1" applyFill="1" applyAlignment="1">
      <alignment horizontal="left" vertical="center"/>
    </xf>
    <xf numFmtId="41" fontId="26" fillId="2" borderId="2" xfId="2" applyNumberFormat="1" applyFont="1" applyFill="1" applyBorder="1" applyAlignment="1">
      <alignment horizontal="right" vertical="center" wrapText="1"/>
    </xf>
    <xf numFmtId="168" fontId="26" fillId="2" borderId="0" xfId="4" applyNumberFormat="1" applyFont="1" applyFill="1" applyBorder="1" applyAlignment="1">
      <alignment horizontal="right" vertical="center" wrapText="1"/>
    </xf>
    <xf numFmtId="168" fontId="26" fillId="2" borderId="16" xfId="4" applyNumberFormat="1" applyFont="1" applyFill="1" applyBorder="1" applyAlignment="1">
      <alignment horizontal="right" vertical="center" wrapText="1"/>
    </xf>
    <xf numFmtId="41" fontId="26" fillId="2" borderId="0" xfId="2" applyNumberFormat="1" applyFont="1" applyFill="1" applyAlignment="1">
      <alignment horizontal="right" vertical="center" wrapText="1"/>
    </xf>
    <xf numFmtId="0" fontId="21" fillId="3" borderId="8" xfId="2" applyFont="1" applyFill="1" applyBorder="1" applyAlignment="1">
      <alignment horizontal="left" vertical="center"/>
    </xf>
    <xf numFmtId="10" fontId="6" fillId="10" borderId="6" xfId="2" applyNumberFormat="1" applyFont="1" applyFill="1" applyBorder="1" applyAlignment="1">
      <alignment horizontal="right" vertical="center" wrapText="1"/>
    </xf>
    <xf numFmtId="0" fontId="21" fillId="2" borderId="30" xfId="2" applyFont="1" applyFill="1" applyBorder="1" applyAlignment="1">
      <alignment horizontal="left" vertical="center"/>
    </xf>
    <xf numFmtId="41" fontId="12" fillId="2" borderId="2" xfId="2" applyNumberFormat="1" applyFont="1" applyFill="1" applyBorder="1" applyAlignment="1">
      <alignment horizontal="right" vertical="top" wrapText="1"/>
    </xf>
    <xf numFmtId="168" fontId="12" fillId="2" borderId="0" xfId="2" applyNumberFormat="1" applyFont="1" applyFill="1" applyAlignment="1">
      <alignment horizontal="right" vertical="top" wrapText="1"/>
    </xf>
    <xf numFmtId="168" fontId="12" fillId="2" borderId="15" xfId="2" applyNumberFormat="1" applyFont="1" applyFill="1" applyBorder="1" applyAlignment="1">
      <alignment horizontal="right" vertical="top" wrapText="1"/>
    </xf>
    <xf numFmtId="168" fontId="12" fillId="7" borderId="0" xfId="2" applyNumberFormat="1" applyFont="1" applyFill="1" applyAlignment="1">
      <alignment horizontal="right" vertical="top" wrapText="1"/>
    </xf>
    <xf numFmtId="168" fontId="13" fillId="2" borderId="0" xfId="2" applyNumberFormat="1" applyFont="1" applyFill="1" applyAlignment="1">
      <alignment horizontal="right" vertical="center" wrapText="1"/>
    </xf>
    <xf numFmtId="168" fontId="13" fillId="2" borderId="16" xfId="2" applyNumberFormat="1" applyFont="1" applyFill="1" applyBorder="1" applyAlignment="1">
      <alignment horizontal="right" vertical="center" wrapText="1"/>
    </xf>
    <xf numFmtId="0" fontId="20" fillId="9" borderId="31" xfId="2" applyFont="1" applyFill="1" applyBorder="1" applyAlignment="1">
      <alignment vertical="center"/>
    </xf>
    <xf numFmtId="41" fontId="17" fillId="9" borderId="2" xfId="2" applyNumberFormat="1" applyFont="1" applyFill="1" applyBorder="1" applyAlignment="1">
      <alignment horizontal="right" vertical="top" wrapText="1"/>
    </xf>
    <xf numFmtId="0" fontId="9" fillId="9" borderId="0" xfId="2" applyFont="1" applyFill="1" applyAlignment="1">
      <alignment horizontal="left" vertical="top" wrapText="1"/>
    </xf>
    <xf numFmtId="0" fontId="9" fillId="9" borderId="15" xfId="2" applyFont="1" applyFill="1" applyBorder="1" applyAlignment="1">
      <alignment horizontal="left" vertical="top" wrapText="1"/>
    </xf>
    <xf numFmtId="0" fontId="20" fillId="9" borderId="0" xfId="2" applyFont="1" applyFill="1" applyAlignment="1">
      <alignment horizontal="center" vertical="center"/>
    </xf>
    <xf numFmtId="41" fontId="6" fillId="9" borderId="2" xfId="2" applyNumberFormat="1" applyFont="1" applyFill="1" applyBorder="1" applyAlignment="1">
      <alignment horizontal="right" vertical="center" wrapText="1"/>
    </xf>
    <xf numFmtId="0" fontId="4" fillId="9" borderId="0" xfId="2" applyFont="1" applyFill="1" applyAlignment="1">
      <alignment horizontal="left" vertical="center" wrapText="1"/>
    </xf>
    <xf numFmtId="0" fontId="4" fillId="9" borderId="16" xfId="2" applyFont="1" applyFill="1" applyBorder="1" applyAlignment="1">
      <alignment horizontal="left" vertical="center" wrapText="1"/>
    </xf>
    <xf numFmtId="0" fontId="4" fillId="2" borderId="32" xfId="2" applyFont="1" applyFill="1" applyBorder="1" applyAlignment="1">
      <alignment horizontal="left" vertical="center"/>
    </xf>
    <xf numFmtId="9" fontId="6" fillId="3" borderId="0" xfId="2" applyNumberFormat="1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23" fillId="2" borderId="32" xfId="2" applyFont="1" applyFill="1" applyBorder="1" applyAlignment="1">
      <alignment horizontal="left" vertical="center"/>
    </xf>
    <xf numFmtId="41" fontId="27" fillId="2" borderId="2" xfId="2" applyNumberFormat="1" applyFont="1" applyFill="1" applyBorder="1" applyAlignment="1">
      <alignment horizontal="right" vertical="top" wrapText="1"/>
    </xf>
    <xf numFmtId="9" fontId="28" fillId="3" borderId="0" xfId="2" applyNumberFormat="1" applyFont="1" applyFill="1" applyAlignment="1">
      <alignment horizontal="center" vertical="center"/>
    </xf>
    <xf numFmtId="9" fontId="23" fillId="3" borderId="0" xfId="2" applyNumberFormat="1" applyFont="1" applyFill="1" applyAlignment="1">
      <alignment horizontal="center" vertical="center"/>
    </xf>
    <xf numFmtId="170" fontId="26" fillId="2" borderId="2" xfId="2" applyNumberFormat="1" applyFont="1" applyFill="1" applyBorder="1" applyAlignment="1">
      <alignment horizontal="right" vertical="center" wrapText="1"/>
    </xf>
    <xf numFmtId="168" fontId="29" fillId="2" borderId="0" xfId="4" applyNumberFormat="1" applyFont="1" applyFill="1" applyBorder="1" applyAlignment="1">
      <alignment horizontal="right" vertical="center" wrapText="1"/>
    </xf>
    <xf numFmtId="43" fontId="26" fillId="2" borderId="2" xfId="2" applyNumberFormat="1" applyFont="1" applyFill="1" applyBorder="1" applyAlignment="1">
      <alignment horizontal="right" vertical="center" wrapText="1"/>
    </xf>
    <xf numFmtId="168" fontId="29" fillId="2" borderId="16" xfId="4" applyNumberFormat="1" applyFont="1" applyFill="1" applyBorder="1" applyAlignment="1">
      <alignment horizontal="right" vertical="center" wrapText="1"/>
    </xf>
    <xf numFmtId="0" fontId="4" fillId="2" borderId="33" xfId="2" applyFont="1" applyFill="1" applyBorder="1" applyAlignment="1">
      <alignment horizontal="left" vertical="center"/>
    </xf>
    <xf numFmtId="0" fontId="20" fillId="2" borderId="34" xfId="2" applyFont="1" applyFill="1" applyBorder="1" applyAlignment="1">
      <alignment vertical="center"/>
    </xf>
    <xf numFmtId="41" fontId="30" fillId="2" borderId="5" xfId="2" applyNumberFormat="1" applyFont="1" applyFill="1" applyBorder="1" applyAlignment="1">
      <alignment horizontal="right" vertical="top" wrapText="1"/>
    </xf>
    <xf numFmtId="168" fontId="30" fillId="2" borderId="3" xfId="4" applyNumberFormat="1" applyFont="1" applyFill="1" applyBorder="1" applyAlignment="1">
      <alignment horizontal="right" vertical="top" wrapText="1"/>
    </xf>
    <xf numFmtId="168" fontId="30" fillId="2" borderId="30" xfId="4" applyNumberFormat="1" applyFont="1" applyFill="1" applyBorder="1" applyAlignment="1">
      <alignment horizontal="right" vertical="top" wrapText="1"/>
    </xf>
    <xf numFmtId="168" fontId="30" fillId="7" borderId="3" xfId="4" applyNumberFormat="1" applyFont="1" applyFill="1" applyBorder="1" applyAlignment="1">
      <alignment horizontal="right" vertical="top" wrapText="1"/>
    </xf>
    <xf numFmtId="0" fontId="20" fillId="2" borderId="3" xfId="2" applyFont="1" applyFill="1" applyBorder="1" applyAlignment="1">
      <alignment vertical="center"/>
    </xf>
    <xf numFmtId="41" fontId="31" fillId="2" borderId="5" xfId="2" applyNumberFormat="1" applyFont="1" applyFill="1" applyBorder="1" applyAlignment="1">
      <alignment horizontal="right" vertical="center" wrapText="1"/>
    </xf>
    <xf numFmtId="168" fontId="31" fillId="2" borderId="3" xfId="4" applyNumberFormat="1" applyFont="1" applyFill="1" applyBorder="1" applyAlignment="1">
      <alignment horizontal="right" vertical="center" wrapText="1"/>
    </xf>
    <xf numFmtId="168" fontId="31" fillId="2" borderId="35" xfId="4" applyNumberFormat="1" applyFont="1" applyFill="1" applyBorder="1" applyAlignment="1">
      <alignment horizontal="right" vertical="center" wrapText="1"/>
    </xf>
    <xf numFmtId="41" fontId="17" fillId="9" borderId="22" xfId="2" applyNumberFormat="1" applyFont="1" applyFill="1" applyBorder="1" applyAlignment="1">
      <alignment horizontal="right" vertical="top" wrapText="1"/>
    </xf>
    <xf numFmtId="41" fontId="6" fillId="9" borderId="19" xfId="2" applyNumberFormat="1" applyFont="1" applyFill="1" applyBorder="1" applyAlignment="1">
      <alignment horizontal="right" vertical="center" wrapText="1"/>
    </xf>
    <xf numFmtId="41" fontId="6" fillId="9" borderId="22" xfId="2" applyNumberFormat="1" applyFont="1" applyFill="1" applyBorder="1" applyAlignment="1">
      <alignment horizontal="right" vertical="center" wrapText="1"/>
    </xf>
    <xf numFmtId="10" fontId="13" fillId="3" borderId="6" xfId="2" applyNumberFormat="1" applyFont="1" applyFill="1" applyBorder="1" applyAlignment="1">
      <alignment horizontal="right" vertical="center" wrapText="1"/>
    </xf>
    <xf numFmtId="0" fontId="4" fillId="2" borderId="36" xfId="2" applyFont="1" applyFill="1" applyBorder="1" applyAlignment="1">
      <alignment horizontal="left" vertical="center"/>
    </xf>
    <xf numFmtId="43" fontId="4" fillId="3" borderId="0" xfId="2" applyNumberFormat="1" applyFont="1" applyFill="1" applyAlignment="1">
      <alignment horizontal="left" vertical="center" wrapText="1"/>
    </xf>
    <xf numFmtId="0" fontId="22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left" vertical="center"/>
    </xf>
    <xf numFmtId="41" fontId="12" fillId="2" borderId="6" xfId="2" applyNumberFormat="1" applyFont="1" applyFill="1" applyBorder="1" applyAlignment="1">
      <alignment horizontal="right" vertical="top" wrapText="1"/>
    </xf>
    <xf numFmtId="168" fontId="12" fillId="2" borderId="4" xfId="4" applyNumberFormat="1" applyFont="1" applyFill="1" applyBorder="1" applyAlignment="1">
      <alignment horizontal="right" vertical="top" wrapText="1"/>
    </xf>
    <xf numFmtId="168" fontId="12" fillId="2" borderId="29" xfId="4" applyNumberFormat="1" applyFont="1" applyFill="1" applyBorder="1" applyAlignment="1">
      <alignment horizontal="right" vertical="top" wrapText="1"/>
    </xf>
    <xf numFmtId="168" fontId="30" fillId="7" borderId="0" xfId="4" applyNumberFormat="1" applyFont="1" applyFill="1" applyBorder="1" applyAlignment="1">
      <alignment horizontal="right" vertical="top" wrapText="1"/>
    </xf>
    <xf numFmtId="0" fontId="20" fillId="2" borderId="0" xfId="2" applyFont="1" applyFill="1" applyAlignment="1">
      <alignment vertical="center"/>
    </xf>
    <xf numFmtId="0" fontId="20" fillId="2" borderId="4" xfId="2" applyFont="1" applyFill="1" applyBorder="1" applyAlignment="1">
      <alignment vertical="center"/>
    </xf>
    <xf numFmtId="0" fontId="4" fillId="2" borderId="37" xfId="2" applyFont="1" applyFill="1" applyBorder="1" applyAlignment="1">
      <alignment horizontal="left" vertical="center"/>
    </xf>
    <xf numFmtId="170" fontId="17" fillId="2" borderId="38" xfId="2" applyNumberFormat="1" applyFont="1" applyFill="1" applyBorder="1" applyAlignment="1">
      <alignment horizontal="right" vertical="top" wrapText="1"/>
    </xf>
    <xf numFmtId="173" fontId="6" fillId="10" borderId="5" xfId="2" applyNumberFormat="1" applyFont="1" applyFill="1" applyBorder="1" applyAlignment="1">
      <alignment horizontal="center" vertical="center"/>
    </xf>
    <xf numFmtId="170" fontId="13" fillId="2" borderId="39" xfId="2" applyNumberFormat="1" applyFont="1" applyFill="1" applyBorder="1" applyAlignment="1">
      <alignment horizontal="right" vertical="center" wrapText="1"/>
    </xf>
    <xf numFmtId="170" fontId="13" fillId="2" borderId="38" xfId="2" applyNumberFormat="1" applyFont="1" applyFill="1" applyBorder="1" applyAlignment="1">
      <alignment horizontal="right" vertical="center" wrapText="1"/>
    </xf>
    <xf numFmtId="0" fontId="20" fillId="2" borderId="7" xfId="2" applyFont="1" applyFill="1" applyBorder="1" applyAlignment="1">
      <alignment vertical="center"/>
    </xf>
    <xf numFmtId="0" fontId="17" fillId="9" borderId="2" xfId="2" applyFont="1" applyFill="1" applyBorder="1" applyAlignment="1">
      <alignment horizontal="right" vertical="top" wrapText="1"/>
    </xf>
    <xf numFmtId="0" fontId="6" fillId="9" borderId="2" xfId="2" applyFont="1" applyFill="1" applyBorder="1" applyAlignment="1">
      <alignment horizontal="right" vertical="center" wrapText="1"/>
    </xf>
    <xf numFmtId="41" fontId="6" fillId="2" borderId="2" xfId="2" applyNumberFormat="1" applyFont="1" applyFill="1" applyBorder="1" applyAlignment="1">
      <alignment horizontal="right" vertical="center" wrapText="1"/>
    </xf>
    <xf numFmtId="41" fontId="28" fillId="2" borderId="2" xfId="2" applyNumberFormat="1" applyFont="1" applyFill="1" applyBorder="1" applyAlignment="1">
      <alignment horizontal="right" vertical="center" wrapText="1"/>
    </xf>
    <xf numFmtId="0" fontId="4" fillId="2" borderId="40" xfId="2" applyFont="1" applyFill="1" applyBorder="1" applyAlignment="1">
      <alignment horizontal="left" vertical="center"/>
    </xf>
    <xf numFmtId="168" fontId="13" fillId="2" borderId="4" xfId="4" applyNumberFormat="1" applyFont="1" applyFill="1" applyBorder="1" applyAlignment="1">
      <alignment horizontal="right" vertical="center" wrapText="1"/>
    </xf>
    <xf numFmtId="168" fontId="13" fillId="2" borderId="18" xfId="4" applyNumberFormat="1" applyFont="1" applyFill="1" applyBorder="1" applyAlignment="1">
      <alignment horizontal="right" vertical="center" wrapText="1"/>
    </xf>
    <xf numFmtId="0" fontId="20" fillId="2" borderId="41" xfId="2" applyFont="1" applyFill="1" applyBorder="1" applyAlignment="1">
      <alignment vertical="center"/>
    </xf>
    <xf numFmtId="41" fontId="30" fillId="2" borderId="1" xfId="2" applyNumberFormat="1" applyFont="1" applyFill="1" applyBorder="1" applyAlignment="1">
      <alignment horizontal="right" vertical="top" wrapText="1"/>
    </xf>
    <xf numFmtId="168" fontId="30" fillId="2" borderId="7" xfId="4" applyNumberFormat="1" applyFont="1" applyFill="1" applyBorder="1" applyAlignment="1">
      <alignment horizontal="right" vertical="top" wrapText="1"/>
    </xf>
    <xf numFmtId="41" fontId="31" fillId="2" borderId="1" xfId="2" applyNumberFormat="1" applyFont="1" applyFill="1" applyBorder="1" applyAlignment="1">
      <alignment horizontal="right" vertical="center" wrapText="1"/>
    </xf>
    <xf numFmtId="168" fontId="31" fillId="2" borderId="7" xfId="4" applyNumberFormat="1" applyFont="1" applyFill="1" applyBorder="1" applyAlignment="1">
      <alignment horizontal="right" vertical="center" wrapText="1"/>
    </xf>
    <xf numFmtId="0" fontId="4" fillId="2" borderId="41" xfId="2" applyFont="1" applyFill="1" applyBorder="1" applyAlignment="1">
      <alignment horizontal="left" vertical="center"/>
    </xf>
    <xf numFmtId="41" fontId="17" fillId="2" borderId="1" xfId="2" applyNumberFormat="1" applyFont="1" applyFill="1" applyBorder="1" applyAlignment="1">
      <alignment horizontal="right" vertical="top" wrapText="1"/>
    </xf>
    <xf numFmtId="168" fontId="12" fillId="2" borderId="7" xfId="4" applyNumberFormat="1" applyFont="1" applyFill="1" applyBorder="1" applyAlignment="1">
      <alignment horizontal="right" vertical="top" wrapText="1"/>
    </xf>
    <xf numFmtId="168" fontId="12" fillId="2" borderId="8" xfId="4" applyNumberFormat="1" applyFont="1" applyFill="1" applyBorder="1" applyAlignment="1">
      <alignment horizontal="right" vertical="top" wrapText="1"/>
    </xf>
    <xf numFmtId="41" fontId="13" fillId="2" borderId="1" xfId="2" applyNumberFormat="1" applyFont="1" applyFill="1" applyBorder="1" applyAlignment="1">
      <alignment horizontal="right" vertical="center" wrapText="1"/>
    </xf>
    <xf numFmtId="168" fontId="13" fillId="2" borderId="8" xfId="4" applyNumberFormat="1" applyFont="1" applyFill="1" applyBorder="1" applyAlignment="1">
      <alignment horizontal="right" vertical="center" wrapText="1"/>
    </xf>
    <xf numFmtId="168" fontId="13" fillId="2" borderId="26" xfId="4" applyNumberFormat="1" applyFont="1" applyFill="1" applyBorder="1" applyAlignment="1">
      <alignment horizontal="right" vertical="center" wrapText="1"/>
    </xf>
    <xf numFmtId="0" fontId="4" fillId="2" borderId="17" xfId="2" applyFont="1" applyFill="1" applyBorder="1" applyAlignment="1">
      <alignment horizontal="left" vertical="center"/>
    </xf>
    <xf numFmtId="168" fontId="6" fillId="10" borderId="15" xfId="4" applyNumberFormat="1" applyFont="1" applyFill="1" applyBorder="1" applyAlignment="1">
      <alignment horizontal="right" vertical="center" wrapText="1"/>
    </xf>
    <xf numFmtId="41" fontId="6" fillId="2" borderId="6" xfId="2" applyNumberFormat="1" applyFont="1" applyFill="1" applyBorder="1" applyAlignment="1">
      <alignment horizontal="right" vertical="center" wrapText="1"/>
    </xf>
    <xf numFmtId="168" fontId="6" fillId="10" borderId="29" xfId="4" applyNumberFormat="1" applyFont="1" applyFill="1" applyBorder="1" applyAlignment="1">
      <alignment horizontal="right" vertical="center" wrapText="1"/>
    </xf>
    <xf numFmtId="0" fontId="20" fillId="2" borderId="42" xfId="2" applyFont="1" applyFill="1" applyBorder="1" applyAlignment="1">
      <alignment vertical="center"/>
    </xf>
    <xf numFmtId="41" fontId="30" fillId="2" borderId="25" xfId="2" applyNumberFormat="1" applyFont="1" applyFill="1" applyBorder="1" applyAlignment="1">
      <alignment horizontal="right" vertical="top" wrapText="1"/>
    </xf>
    <xf numFmtId="168" fontId="30" fillId="2" borderId="43" xfId="4" applyNumberFormat="1" applyFont="1" applyFill="1" applyBorder="1" applyAlignment="1">
      <alignment horizontal="right" vertical="top" wrapText="1"/>
    </xf>
    <xf numFmtId="168" fontId="30" fillId="2" borderId="44" xfId="4" applyNumberFormat="1" applyFont="1" applyFill="1" applyBorder="1" applyAlignment="1">
      <alignment horizontal="right" vertical="top" wrapText="1"/>
    </xf>
    <xf numFmtId="168" fontId="30" fillId="7" borderId="43" xfId="4" applyNumberFormat="1" applyFont="1" applyFill="1" applyBorder="1" applyAlignment="1">
      <alignment horizontal="right" vertical="top" wrapText="1"/>
    </xf>
    <xf numFmtId="0" fontId="20" fillId="2" borderId="43" xfId="2" applyFont="1" applyFill="1" applyBorder="1" applyAlignment="1">
      <alignment vertical="center"/>
    </xf>
    <xf numFmtId="41" fontId="31" fillId="2" borderId="25" xfId="2" applyNumberFormat="1" applyFont="1" applyFill="1" applyBorder="1" applyAlignment="1">
      <alignment horizontal="right" vertical="center" wrapText="1"/>
    </xf>
    <xf numFmtId="168" fontId="31" fillId="2" borderId="44" xfId="4" applyNumberFormat="1" applyFont="1" applyFill="1" applyBorder="1" applyAlignment="1">
      <alignment horizontal="right" vertical="center" wrapText="1"/>
    </xf>
    <xf numFmtId="168" fontId="31" fillId="2" borderId="43" xfId="4" applyNumberFormat="1" applyFont="1" applyFill="1" applyBorder="1" applyAlignment="1">
      <alignment horizontal="right" vertical="center" wrapText="1"/>
    </xf>
    <xf numFmtId="168" fontId="31" fillId="2" borderId="45" xfId="4" applyNumberFormat="1" applyFont="1" applyFill="1" applyBorder="1" applyAlignment="1">
      <alignment horizontal="right" vertical="center" wrapText="1"/>
    </xf>
    <xf numFmtId="43" fontId="4" fillId="3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43" fontId="4" fillId="2" borderId="0" xfId="2" applyNumberFormat="1" applyFont="1" applyFill="1" applyAlignment="1">
      <alignment vertical="center" wrapText="1"/>
    </xf>
    <xf numFmtId="0" fontId="2" fillId="2" borderId="5" xfId="0" applyFont="1" applyFill="1" applyBorder="1"/>
    <xf numFmtId="0" fontId="0" fillId="2" borderId="3" xfId="0" applyFill="1" applyBorder="1"/>
    <xf numFmtId="0" fontId="0" fillId="2" borderId="30" xfId="0" applyFill="1" applyBorder="1"/>
    <xf numFmtId="0" fontId="0" fillId="2" borderId="5" xfId="0" applyFill="1" applyBorder="1" applyAlignment="1">
      <alignment horizontal="left" inden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10" borderId="7" xfId="0" applyFill="1" applyBorder="1"/>
    <xf numFmtId="0" fontId="0" fillId="10" borderId="8" xfId="0" applyFill="1" applyBorder="1"/>
    <xf numFmtId="41" fontId="0" fillId="10" borderId="0" xfId="0" applyNumberFormat="1" applyFill="1" applyBorder="1"/>
    <xf numFmtId="41" fontId="0" fillId="10" borderId="15" xfId="0" applyNumberFormat="1" applyFill="1" applyBorder="1"/>
    <xf numFmtId="41" fontId="0" fillId="10" borderId="3" xfId="0" applyNumberFormat="1" applyFill="1" applyBorder="1"/>
    <xf numFmtId="41" fontId="0" fillId="10" borderId="30" xfId="0" applyNumberFormat="1" applyFill="1" applyBorder="1"/>
  </cellXfs>
  <cellStyles count="5">
    <cellStyle name="Currency 2" xfId="3" xr:uid="{24711DF0-0DD8-4FE7-86A4-E7EC08E90EAE}"/>
    <cellStyle name="Normal" xfId="0" builtinId="0"/>
    <cellStyle name="Normal 2" xfId="2" xr:uid="{BD730BB8-7D9F-4493-AAD2-CDA8181E957A}"/>
    <cellStyle name="Percent" xfId="1" builtinId="5"/>
    <cellStyle name="Percent 2" xfId="4" xr:uid="{56A88E57-1131-49A0-8768-0F950107E216}"/>
  </cellStyles>
  <dxfs count="59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/Documents/Adventures%20In%20CRE/Blg%20posts/Basic%20Hotel%20Proforma/A.CRE%20-%20Basic%20Hotel%20Proforma%20-%2019.9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/Documents/Adventures%20In%20CRE/Blg%20posts/Hotel%20Model/A.CRE%20Hotel%20Model%20-%20Beta%20-%20Version%202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FSummary"/>
      <sheetName val="OpCashFlow"/>
      <sheetName val="Waterfall - IRR Hurdles"/>
    </sheetNames>
    <sheetDataSet>
      <sheetData sheetId="0">
        <row r="9">
          <cell r="C9">
            <v>78</v>
          </cell>
        </row>
        <row r="10">
          <cell r="C10">
            <v>43738</v>
          </cell>
        </row>
      </sheetData>
      <sheetData sheetId="1"/>
      <sheetData sheetId="2">
        <row r="12">
          <cell r="B12" t="str">
            <v xml:space="preserve">Occupancy 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ummary"/>
      <sheetName val="CFSummary"/>
      <sheetName val="OpCashFlow"/>
      <sheetName val="F&amp;B"/>
      <sheetName val="OthOppDepts"/>
      <sheetName val="OthExpenses"/>
      <sheetName val="Penetration"/>
      <sheetName val="Waterfall - IRR Hurdles"/>
    </sheetNames>
    <sheetDataSet>
      <sheetData sheetId="0"/>
      <sheetData sheetId="1"/>
      <sheetData sheetId="2"/>
      <sheetData sheetId="3"/>
      <sheetData sheetId="4">
        <row r="16">
          <cell r="A16">
            <v>1</v>
          </cell>
        </row>
        <row r="68">
          <cell r="A68">
            <v>1</v>
          </cell>
        </row>
        <row r="108">
          <cell r="A108">
            <v>1</v>
          </cell>
        </row>
        <row r="127">
          <cell r="A127">
            <v>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57CD-BD84-4623-9ECF-C9969A0C2AEF}">
  <dimension ref="A1:BA142"/>
  <sheetViews>
    <sheetView tabSelected="1" zoomScale="80" zoomScaleNormal="80" workbookViewId="0">
      <selection activeCell="R13" sqref="R13"/>
    </sheetView>
  </sheetViews>
  <sheetFormatPr defaultColWidth="0" defaultRowHeight="15" customHeight="1" zeroHeight="1" outlineLevelRow="1" outlineLevelCol="1" x14ac:dyDescent="0.25"/>
  <cols>
    <col min="1" max="1" width="2.7109375" style="6" customWidth="1"/>
    <col min="2" max="2" width="39.85546875" style="21" bestFit="1" customWidth="1"/>
    <col min="3" max="10" width="15.7109375" style="21" customWidth="1"/>
    <col min="11" max="11" width="2.7109375" style="21" customWidth="1"/>
    <col min="12" max="12" width="12.28515625" style="21" hidden="1" customWidth="1" outlineLevel="1"/>
    <col min="13" max="13" width="33.5703125" style="21" hidden="1" customWidth="1" outlineLevel="1"/>
    <col min="14" max="14" width="35.5703125" style="21" hidden="1" customWidth="1" outlineLevel="1"/>
    <col min="15" max="15" width="13.7109375" style="21" customWidth="1" collapsed="1"/>
    <col min="16" max="16" width="8.85546875" style="21" bestFit="1" customWidth="1"/>
    <col min="17" max="17" width="13.7109375" style="21" customWidth="1"/>
    <col min="18" max="18" width="8.85546875" style="21" bestFit="1" customWidth="1"/>
    <col min="19" max="19" width="13.7109375" style="21" customWidth="1"/>
    <col min="20" max="20" width="8.85546875" style="21" bestFit="1" customWidth="1"/>
    <col min="21" max="21" width="13.7109375" style="21" customWidth="1"/>
    <col min="22" max="22" width="8.85546875" style="21" bestFit="1" customWidth="1"/>
    <col min="23" max="23" width="13.7109375" style="21" customWidth="1"/>
    <col min="24" max="24" width="8.85546875" style="21" bestFit="1" customWidth="1"/>
    <col min="25" max="25" width="13.7109375" style="21" customWidth="1"/>
    <col min="26" max="26" width="8.85546875" style="21" bestFit="1" customWidth="1"/>
    <col min="27" max="27" width="13.7109375" style="21" customWidth="1"/>
    <col min="28" max="28" width="8.85546875" style="21" bestFit="1" customWidth="1"/>
    <col min="29" max="29" width="13.7109375" style="21" customWidth="1"/>
    <col min="30" max="30" width="8.85546875" style="21" bestFit="1" customWidth="1"/>
    <col min="31" max="31" width="13.7109375" style="21" customWidth="1"/>
    <col min="32" max="32" width="8.85546875" style="21" bestFit="1" customWidth="1"/>
    <col min="33" max="33" width="13.7109375" style="21" customWidth="1"/>
    <col min="34" max="34" width="8.85546875" style="21" bestFit="1" customWidth="1"/>
    <col min="35" max="35" width="13.7109375" style="21" customWidth="1"/>
    <col min="36" max="36" width="8.85546875" style="21" bestFit="1" customWidth="1"/>
    <col min="37" max="37" width="2.7109375" style="6" customWidth="1"/>
    <col min="38" max="53" width="0" style="21" hidden="1" customWidth="1"/>
    <col min="54" max="16384" width="9.140625" style="21" hidden="1"/>
  </cols>
  <sheetData>
    <row r="1" spans="1:37" s="6" customForma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s="6" customFormat="1" ht="19.5" x14ac:dyDescent="0.25">
      <c r="A2" s="7"/>
      <c r="B2" s="8" t="s">
        <v>54</v>
      </c>
      <c r="C2" s="9"/>
      <c r="D2" s="9"/>
      <c r="E2" s="9"/>
      <c r="F2" s="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11" t="s">
        <v>6</v>
      </c>
      <c r="AK2" s="7"/>
    </row>
    <row r="3" spans="1:37" s="6" customFormat="1" x14ac:dyDescent="0.25">
      <c r="A3" s="7"/>
      <c r="B3" s="9"/>
      <c r="C3" s="9"/>
      <c r="D3" s="9"/>
      <c r="E3" s="9"/>
      <c r="F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6" customFormat="1" x14ac:dyDescent="0.25">
      <c r="A4" s="7"/>
      <c r="B4" s="276"/>
      <c r="C4" s="277">
        <v>2020</v>
      </c>
      <c r="D4" s="277">
        <f>+C4+1</f>
        <v>2021</v>
      </c>
      <c r="E4" s="277">
        <f t="shared" ref="E4:J4" si="0">+D4+1</f>
        <v>2022</v>
      </c>
      <c r="F4" s="277">
        <f t="shared" si="0"/>
        <v>2023</v>
      </c>
      <c r="G4" s="277">
        <f t="shared" si="0"/>
        <v>2024</v>
      </c>
      <c r="H4" s="277">
        <f t="shared" si="0"/>
        <v>2025</v>
      </c>
      <c r="I4" s="277">
        <f t="shared" si="0"/>
        <v>2026</v>
      </c>
      <c r="J4" s="278">
        <f t="shared" si="0"/>
        <v>2027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6" customFormat="1" x14ac:dyDescent="0.25">
      <c r="A5" s="7"/>
      <c r="B5" s="272"/>
      <c r="C5" s="273"/>
      <c r="D5" s="273"/>
      <c r="E5" s="273"/>
      <c r="F5" s="273"/>
      <c r="G5" s="273"/>
      <c r="H5" s="273"/>
      <c r="I5" s="273"/>
      <c r="J5" s="27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6" customFormat="1" x14ac:dyDescent="0.25">
      <c r="A6" s="7"/>
      <c r="B6" s="1" t="s">
        <v>0</v>
      </c>
      <c r="C6" s="279"/>
      <c r="D6" s="279"/>
      <c r="E6" s="279"/>
      <c r="F6" s="279"/>
      <c r="G6" s="279"/>
      <c r="H6" s="279"/>
      <c r="I6" s="279"/>
      <c r="J6" s="28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s="6" customFormat="1" x14ac:dyDescent="0.25">
      <c r="A7" s="7"/>
      <c r="B7" s="2" t="s">
        <v>1</v>
      </c>
      <c r="C7" s="281"/>
      <c r="D7" s="281"/>
      <c r="E7" s="281"/>
      <c r="F7" s="281"/>
      <c r="G7" s="281"/>
      <c r="H7" s="281"/>
      <c r="I7" s="281"/>
      <c r="J7" s="282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6" customFormat="1" x14ac:dyDescent="0.25">
      <c r="A8" s="7"/>
      <c r="B8" s="2" t="s">
        <v>2</v>
      </c>
      <c r="C8" s="281"/>
      <c r="D8" s="281"/>
      <c r="E8" s="281"/>
      <c r="F8" s="281"/>
      <c r="G8" s="281"/>
      <c r="H8" s="281"/>
      <c r="I8" s="281"/>
      <c r="J8" s="282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6" customFormat="1" x14ac:dyDescent="0.25">
      <c r="A9" s="7"/>
      <c r="B9" s="2" t="s">
        <v>3</v>
      </c>
      <c r="C9" s="281"/>
      <c r="D9" s="281"/>
      <c r="E9" s="281"/>
      <c r="F9" s="281"/>
      <c r="G9" s="281"/>
      <c r="H9" s="281"/>
      <c r="I9" s="281"/>
      <c r="J9" s="282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6" customFormat="1" x14ac:dyDescent="0.25">
      <c r="A10" s="7"/>
      <c r="B10" s="2" t="s">
        <v>4</v>
      </c>
      <c r="C10" s="281"/>
      <c r="D10" s="281"/>
      <c r="E10" s="281"/>
      <c r="F10" s="281"/>
      <c r="G10" s="281"/>
      <c r="H10" s="281"/>
      <c r="I10" s="281"/>
      <c r="J10" s="282"/>
      <c r="K10" s="9"/>
      <c r="L10" s="9"/>
      <c r="M10" s="9"/>
      <c r="N10" s="9"/>
      <c r="O10" s="1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6" customFormat="1" x14ac:dyDescent="0.25">
      <c r="A11" s="7"/>
      <c r="B11" s="275" t="s">
        <v>5</v>
      </c>
      <c r="C11" s="283"/>
      <c r="D11" s="283"/>
      <c r="E11" s="283"/>
      <c r="F11" s="283"/>
      <c r="G11" s="283"/>
      <c r="H11" s="283"/>
      <c r="I11" s="283"/>
      <c r="J11" s="284"/>
      <c r="K11" s="9"/>
      <c r="L11" s="9"/>
      <c r="M11" s="9"/>
      <c r="N11" s="9"/>
      <c r="O11" s="10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6" customFormat="1" x14ac:dyDescent="0.25">
      <c r="A12" s="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75" thickBot="1" x14ac:dyDescent="0.3">
      <c r="A13" s="7"/>
      <c r="B13" s="9"/>
      <c r="C13" s="12" t="s">
        <v>7</v>
      </c>
      <c r="D13" s="13"/>
      <c r="E13" s="13"/>
      <c r="F13" s="13"/>
      <c r="G13" s="13"/>
      <c r="H13" s="13"/>
      <c r="I13" s="14"/>
      <c r="J13" s="15"/>
      <c r="K13" s="16"/>
      <c r="L13" s="17"/>
      <c r="M13" s="17"/>
      <c r="N13" s="17"/>
      <c r="O13" s="18" t="s">
        <v>8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0"/>
      <c r="AK13" s="7"/>
    </row>
    <row r="14" spans="1:37" x14ac:dyDescent="0.25">
      <c r="A14" s="7"/>
      <c r="B14" s="22"/>
      <c r="C14" s="23"/>
      <c r="D14" s="24"/>
      <c r="E14" s="23"/>
      <c r="F14" s="25"/>
      <c r="G14" s="24"/>
      <c r="H14" s="24"/>
      <c r="I14" s="23"/>
      <c r="J14" s="25"/>
      <c r="K14" s="26"/>
      <c r="L14" s="27"/>
      <c r="M14" s="27"/>
      <c r="N14" s="27"/>
      <c r="O14" s="28">
        <v>1</v>
      </c>
      <c r="P14" s="29"/>
      <c r="Q14" s="28">
        <f>+O14+1</f>
        <v>2</v>
      </c>
      <c r="R14" s="29"/>
      <c r="S14" s="28">
        <f>+Q14+1</f>
        <v>3</v>
      </c>
      <c r="T14" s="29"/>
      <c r="U14" s="28">
        <f>+S14+1</f>
        <v>4</v>
      </c>
      <c r="V14" s="29"/>
      <c r="W14" s="28">
        <f>+U14+1</f>
        <v>5</v>
      </c>
      <c r="X14" s="29"/>
      <c r="Y14" s="28">
        <f>+W14+1</f>
        <v>6</v>
      </c>
      <c r="Z14" s="29"/>
      <c r="AA14" s="28">
        <f>+Y14+1</f>
        <v>7</v>
      </c>
      <c r="AB14" s="29"/>
      <c r="AC14" s="28">
        <f>+AA14+1</f>
        <v>8</v>
      </c>
      <c r="AD14" s="29"/>
      <c r="AE14" s="28">
        <f>+AC14+1</f>
        <v>9</v>
      </c>
      <c r="AF14" s="29"/>
      <c r="AG14" s="28">
        <f>+AE14+1</f>
        <v>10</v>
      </c>
      <c r="AH14" s="29"/>
      <c r="AI14" s="28">
        <f>+AG14+1</f>
        <v>11</v>
      </c>
      <c r="AJ14" s="30"/>
      <c r="AK14" s="7"/>
    </row>
    <row r="15" spans="1:37" ht="24" x14ac:dyDescent="0.25">
      <c r="A15" s="7"/>
      <c r="B15" s="31"/>
      <c r="C15" s="32"/>
      <c r="D15" s="33"/>
      <c r="E15" s="32"/>
      <c r="F15" s="34"/>
      <c r="G15" s="33"/>
      <c r="H15" s="33"/>
      <c r="I15" s="32"/>
      <c r="J15" s="34"/>
      <c r="K15" s="35"/>
      <c r="L15" s="36"/>
      <c r="M15" s="36"/>
      <c r="N15" s="36"/>
      <c r="O15" s="37" t="str">
        <f>"Year Ending "&amp;TEXT([1]Summary!$C$10,"Mmmm")</f>
        <v>Year Ending September</v>
      </c>
      <c r="P15" s="38"/>
      <c r="Q15" s="37" t="str">
        <f>"Year Ending "&amp;TEXT([1]Summary!$C$10,"Mmmm")</f>
        <v>Year Ending September</v>
      </c>
      <c r="R15" s="38"/>
      <c r="S15" s="37" t="str">
        <f>"Year Ending "&amp;TEXT([1]Summary!$C$10,"Mmmm")</f>
        <v>Year Ending September</v>
      </c>
      <c r="T15" s="38"/>
      <c r="U15" s="37" t="str">
        <f>"Year Ending "&amp;TEXT([1]Summary!$C$10,"Mmmm")</f>
        <v>Year Ending September</v>
      </c>
      <c r="V15" s="38"/>
      <c r="W15" s="37" t="str">
        <f>"Year Ending "&amp;TEXT([1]Summary!$C$10,"Mmmm")</f>
        <v>Year Ending September</v>
      </c>
      <c r="X15" s="38"/>
      <c r="Y15" s="37" t="str">
        <f>"Year Ending "&amp;TEXT([1]Summary!$C$10,"Mmmm")</f>
        <v>Year Ending September</v>
      </c>
      <c r="Z15" s="38"/>
      <c r="AA15" s="37" t="str">
        <f>"Year Ending "&amp;TEXT([1]Summary!$C$10,"Mmmm")</f>
        <v>Year Ending September</v>
      </c>
      <c r="AB15" s="38"/>
      <c r="AC15" s="37" t="str">
        <f>"Year Ending "&amp;TEXT([1]Summary!$C$10,"Mmmm")</f>
        <v>Year Ending September</v>
      </c>
      <c r="AD15" s="38"/>
      <c r="AE15" s="37" t="str">
        <f>"Year Ending "&amp;TEXT([1]Summary!$C$10,"Mmmm")</f>
        <v>Year Ending September</v>
      </c>
      <c r="AF15" s="38"/>
      <c r="AG15" s="37" t="str">
        <f>"Year Ending "&amp;TEXT([1]Summary!$C$10,"Mmmm")</f>
        <v>Year Ending September</v>
      </c>
      <c r="AH15" s="38"/>
      <c r="AI15" s="37" t="str">
        <f>"Year Ending "&amp;TEXT([1]Summary!$C$10,"Mmmm")</f>
        <v>Year Ending September</v>
      </c>
      <c r="AJ15" s="39"/>
      <c r="AK15" s="7"/>
    </row>
    <row r="16" spans="1:37" x14ac:dyDescent="0.25">
      <c r="A16" s="7"/>
      <c r="B16" s="31" t="s">
        <v>9</v>
      </c>
      <c r="C16" s="40">
        <v>2016</v>
      </c>
      <c r="D16" s="41"/>
      <c r="E16" s="40">
        <f>C16+1</f>
        <v>2017</v>
      </c>
      <c r="F16" s="42"/>
      <c r="G16" s="43">
        <f>E16+1</f>
        <v>2018</v>
      </c>
      <c r="H16" s="41"/>
      <c r="I16" s="44" t="str">
        <f>"TTM - "&amp;TEXT(EDATE([1]Summary!C10,-1),"mmm")&amp;" "&amp;G16+1</f>
        <v>TTM - Aug 2019</v>
      </c>
      <c r="J16" s="45"/>
      <c r="K16" s="46"/>
      <c r="L16" s="36"/>
      <c r="M16" s="36"/>
      <c r="N16" s="36"/>
      <c r="O16" s="47">
        <f>YEAR(EDATE([1]Summary!C10,12))</f>
        <v>2020</v>
      </c>
      <c r="P16" s="48"/>
      <c r="Q16" s="47">
        <f>O16+1</f>
        <v>2021</v>
      </c>
      <c r="R16" s="48"/>
      <c r="S16" s="47">
        <f>Q16+1</f>
        <v>2022</v>
      </c>
      <c r="T16" s="48"/>
      <c r="U16" s="47">
        <f>S16+1</f>
        <v>2023</v>
      </c>
      <c r="V16" s="48"/>
      <c r="W16" s="47">
        <f>U16+1</f>
        <v>2024</v>
      </c>
      <c r="X16" s="48"/>
      <c r="Y16" s="47">
        <f>W16+1</f>
        <v>2025</v>
      </c>
      <c r="Z16" s="48"/>
      <c r="AA16" s="47">
        <f>Y16+1</f>
        <v>2026</v>
      </c>
      <c r="AB16" s="48"/>
      <c r="AC16" s="47">
        <f>AA16+1</f>
        <v>2027</v>
      </c>
      <c r="AD16" s="48"/>
      <c r="AE16" s="47">
        <f>AC16+1</f>
        <v>2028</v>
      </c>
      <c r="AF16" s="48"/>
      <c r="AG16" s="47">
        <f>AE16+1</f>
        <v>2029</v>
      </c>
      <c r="AH16" s="48"/>
      <c r="AI16" s="47">
        <f>AG16+1</f>
        <v>2030</v>
      </c>
      <c r="AJ16" s="49"/>
      <c r="AK16" s="7"/>
    </row>
    <row r="17" spans="1:37" x14ac:dyDescent="0.25">
      <c r="A17" s="7"/>
      <c r="B17" s="50" t="s">
        <v>1</v>
      </c>
      <c r="C17" s="51">
        <f>[1]Summary!$C$9</f>
        <v>78</v>
      </c>
      <c r="D17" s="52"/>
      <c r="E17" s="51">
        <f>[1]Summary!$C$9</f>
        <v>78</v>
      </c>
      <c r="F17" s="52"/>
      <c r="G17" s="51">
        <f>[1]Summary!$C$9</f>
        <v>78</v>
      </c>
      <c r="H17" s="52"/>
      <c r="I17" s="51">
        <f>[1]Summary!$C$9</f>
        <v>78</v>
      </c>
      <c r="J17" s="53"/>
      <c r="K17" s="54"/>
      <c r="L17" s="55"/>
      <c r="M17" s="55"/>
      <c r="N17" s="55"/>
      <c r="O17" s="51">
        <f>[1]Summary!$C$9</f>
        <v>78</v>
      </c>
      <c r="P17" s="56"/>
      <c r="Q17" s="51">
        <f>[1]Summary!$C$9</f>
        <v>78</v>
      </c>
      <c r="R17" s="56"/>
      <c r="S17" s="51">
        <f>[1]Summary!$C$9</f>
        <v>78</v>
      </c>
      <c r="T17" s="56"/>
      <c r="U17" s="51">
        <f>[1]Summary!$C$9</f>
        <v>78</v>
      </c>
      <c r="V17" s="56"/>
      <c r="W17" s="51">
        <f>[1]Summary!$C$9</f>
        <v>78</v>
      </c>
      <c r="X17" s="56"/>
      <c r="Y17" s="51">
        <f>[1]Summary!$C$9</f>
        <v>78</v>
      </c>
      <c r="Z17" s="56"/>
      <c r="AA17" s="51">
        <f>[1]Summary!$C$9</f>
        <v>78</v>
      </c>
      <c r="AB17" s="56"/>
      <c r="AC17" s="51">
        <f>[1]Summary!$C$9</f>
        <v>78</v>
      </c>
      <c r="AD17" s="56"/>
      <c r="AE17" s="51">
        <f>[1]Summary!$C$9</f>
        <v>78</v>
      </c>
      <c r="AF17" s="56"/>
      <c r="AG17" s="51">
        <f>[1]Summary!$C$9</f>
        <v>78</v>
      </c>
      <c r="AH17" s="56"/>
      <c r="AI17" s="51">
        <f>[1]Summary!$C$9</f>
        <v>78</v>
      </c>
      <c r="AJ17" s="57"/>
      <c r="AK17" s="7"/>
    </row>
    <row r="18" spans="1:37" x14ac:dyDescent="0.25">
      <c r="A18" s="7"/>
      <c r="B18" s="50" t="s">
        <v>10</v>
      </c>
      <c r="C18" s="58">
        <f>_xlfn.DAYS(DATE(C16,12,31),DATE(C16,1,1))+1</f>
        <v>366</v>
      </c>
      <c r="D18" s="59"/>
      <c r="E18" s="58">
        <f>_xlfn.DAYS(DATE(E16,12,31),DATE(E16,1,1))+1</f>
        <v>365</v>
      </c>
      <c r="F18" s="59"/>
      <c r="G18" s="58">
        <f>_xlfn.DAYS(DATE(G16,12,31),DATE(G16,1,1))+1</f>
        <v>365</v>
      </c>
      <c r="H18" s="59"/>
      <c r="I18" s="58">
        <f>_xlfn.DAYS(EOMONTH(DATE(G16+1,J19,1),0),EOMONTH(DATE(G16+1,J19,1),-12))</f>
        <v>365</v>
      </c>
      <c r="J18" s="60"/>
      <c r="K18" s="61"/>
      <c r="L18" s="62"/>
      <c r="M18" s="62"/>
      <c r="N18" s="62"/>
      <c r="O18" s="63">
        <f>_xlfn.DAYS(DATE(O16,12,31),DATE(O16,1,1))+1</f>
        <v>366</v>
      </c>
      <c r="P18" s="64"/>
      <c r="Q18" s="63">
        <f>_xlfn.DAYS(DATE(Q16,12,31),DATE(Q16,1,1))+1</f>
        <v>365</v>
      </c>
      <c r="R18" s="64"/>
      <c r="S18" s="63">
        <f>_xlfn.DAYS(DATE(S16,12,31),DATE(S16,1,1))+1</f>
        <v>365</v>
      </c>
      <c r="T18" s="64"/>
      <c r="U18" s="63">
        <f>_xlfn.DAYS(DATE(U16,12,31),DATE(U16,1,1))+1</f>
        <v>365</v>
      </c>
      <c r="V18" s="64"/>
      <c r="W18" s="63">
        <f>_xlfn.DAYS(DATE(W16,12,31),DATE(W16,1,1))+1</f>
        <v>366</v>
      </c>
      <c r="X18" s="64"/>
      <c r="Y18" s="63">
        <f>_xlfn.DAYS(DATE(Y16,12,31),DATE(Y16,1,1))+1</f>
        <v>365</v>
      </c>
      <c r="Z18" s="64"/>
      <c r="AA18" s="63">
        <f>_xlfn.DAYS(DATE(AA16,12,31),DATE(AA16,1,1))+1</f>
        <v>365</v>
      </c>
      <c r="AB18" s="64"/>
      <c r="AC18" s="63">
        <f>_xlfn.DAYS(DATE(AC16,12,31),DATE(AC16,1,1))+1</f>
        <v>365</v>
      </c>
      <c r="AD18" s="64"/>
      <c r="AE18" s="63">
        <f>_xlfn.DAYS(DATE(AE16,12,31),DATE(AE16,1,1))+1</f>
        <v>366</v>
      </c>
      <c r="AF18" s="64"/>
      <c r="AG18" s="63">
        <f>_xlfn.DAYS(DATE(AG16,12,31),DATE(AG16,1,1))+1</f>
        <v>365</v>
      </c>
      <c r="AH18" s="64"/>
      <c r="AI18" s="63">
        <f>_xlfn.DAYS(DATE(AI16,12,31),DATE(AI16,1,1))+1</f>
        <v>365</v>
      </c>
      <c r="AJ18" s="65"/>
      <c r="AK18" s="7"/>
    </row>
    <row r="19" spans="1:37" x14ac:dyDescent="0.25">
      <c r="A19" s="7"/>
      <c r="B19" s="50" t="s">
        <v>11</v>
      </c>
      <c r="C19" s="66">
        <f>+C17*C18</f>
        <v>28548</v>
      </c>
      <c r="D19" s="59"/>
      <c r="E19" s="66">
        <f>+E17*E18</f>
        <v>28470</v>
      </c>
      <c r="F19" s="59"/>
      <c r="G19" s="66">
        <f>+G17*G18</f>
        <v>28470</v>
      </c>
      <c r="H19" s="67"/>
      <c r="I19" s="66">
        <f>+I17*I18</f>
        <v>28470</v>
      </c>
      <c r="J19" s="68"/>
      <c r="K19" s="69"/>
      <c r="L19" s="62"/>
      <c r="M19" s="62"/>
      <c r="N19" s="62"/>
      <c r="O19" s="70">
        <f>O18*O17</f>
        <v>28548</v>
      </c>
      <c r="P19" s="64"/>
      <c r="Q19" s="70">
        <f>Q18*Q17</f>
        <v>28470</v>
      </c>
      <c r="R19" s="64"/>
      <c r="S19" s="70">
        <f>S18*S17</f>
        <v>28470</v>
      </c>
      <c r="T19" s="64"/>
      <c r="U19" s="70">
        <f>U18*U17</f>
        <v>28470</v>
      </c>
      <c r="V19" s="64"/>
      <c r="W19" s="70">
        <f>W18*W17</f>
        <v>28548</v>
      </c>
      <c r="X19" s="64"/>
      <c r="Y19" s="70">
        <f>Y18*Y17</f>
        <v>28470</v>
      </c>
      <c r="Z19" s="64"/>
      <c r="AA19" s="70">
        <f>AA18*AA17</f>
        <v>28470</v>
      </c>
      <c r="AB19" s="64"/>
      <c r="AC19" s="70">
        <f>AC18*AC17</f>
        <v>28470</v>
      </c>
      <c r="AD19" s="64"/>
      <c r="AE19" s="70">
        <f>AE18*AE17</f>
        <v>28548</v>
      </c>
      <c r="AF19" s="64"/>
      <c r="AG19" s="70">
        <f>AG18*AG17</f>
        <v>28470</v>
      </c>
      <c r="AH19" s="64"/>
      <c r="AI19" s="70">
        <f>AI18*AI17</f>
        <v>28470</v>
      </c>
      <c r="AJ19" s="65"/>
      <c r="AK19" s="7"/>
    </row>
    <row r="20" spans="1:37" x14ac:dyDescent="0.25">
      <c r="A20" s="7"/>
      <c r="B20" s="50" t="s">
        <v>12</v>
      </c>
      <c r="C20" s="71">
        <v>18536</v>
      </c>
      <c r="D20" s="59"/>
      <c r="E20" s="71">
        <v>19520</v>
      </c>
      <c r="F20" s="59"/>
      <c r="G20" s="71">
        <v>19980</v>
      </c>
      <c r="H20" s="59"/>
      <c r="I20" s="71">
        <v>18985</v>
      </c>
      <c r="J20" s="72"/>
      <c r="K20" s="73"/>
      <c r="L20" s="62"/>
      <c r="M20" s="62"/>
      <c r="N20" s="62"/>
      <c r="O20" s="70">
        <f>O21*O19</f>
        <v>19412.640000000003</v>
      </c>
      <c r="P20" s="64"/>
      <c r="Q20" s="70">
        <f>Q21*Q19</f>
        <v>19359.600000000002</v>
      </c>
      <c r="R20" s="64"/>
      <c r="S20" s="70">
        <f>S21*S19</f>
        <v>19359.600000000002</v>
      </c>
      <c r="T20" s="64"/>
      <c r="U20" s="70">
        <f>U21*U19</f>
        <v>19359.600000000002</v>
      </c>
      <c r="V20" s="64"/>
      <c r="W20" s="70">
        <f>W21*W19</f>
        <v>19412.640000000003</v>
      </c>
      <c r="X20" s="64"/>
      <c r="Y20" s="70">
        <f>Y21*Y19</f>
        <v>19359.600000000002</v>
      </c>
      <c r="Z20" s="64"/>
      <c r="AA20" s="70">
        <f>AA21*AA19</f>
        <v>19359.600000000002</v>
      </c>
      <c r="AB20" s="64"/>
      <c r="AC20" s="70">
        <f>AC21*AC19</f>
        <v>19359.600000000002</v>
      </c>
      <c r="AD20" s="64"/>
      <c r="AE20" s="70">
        <f>AE21*AE19</f>
        <v>19412.640000000003</v>
      </c>
      <c r="AF20" s="64"/>
      <c r="AG20" s="70">
        <f>AG21*AG19</f>
        <v>19359.600000000002</v>
      </c>
      <c r="AH20" s="64"/>
      <c r="AI20" s="70">
        <f>AI21*AI19</f>
        <v>19359.600000000002</v>
      </c>
      <c r="AJ20" s="65"/>
      <c r="AK20" s="7"/>
    </row>
    <row r="21" spans="1:37" x14ac:dyDescent="0.25">
      <c r="A21" s="7"/>
      <c r="B21" s="50" t="s">
        <v>13</v>
      </c>
      <c r="C21" s="74">
        <f>C20/C19</f>
        <v>0.64929241978422303</v>
      </c>
      <c r="D21" s="59"/>
      <c r="E21" s="74">
        <f>E20/E19</f>
        <v>0.68563400070249381</v>
      </c>
      <c r="F21" s="59"/>
      <c r="G21" s="74">
        <f>G20/G19</f>
        <v>0.70179135932560588</v>
      </c>
      <c r="H21" s="59"/>
      <c r="I21" s="74">
        <f>I20/I19</f>
        <v>0.66684229012996132</v>
      </c>
      <c r="J21" s="72"/>
      <c r="K21" s="73"/>
      <c r="L21" s="62"/>
      <c r="M21" s="62"/>
      <c r="N21" s="62"/>
      <c r="O21" s="75">
        <v>0.68</v>
      </c>
      <c r="P21" s="64"/>
      <c r="Q21" s="75">
        <v>0.68</v>
      </c>
      <c r="R21" s="64"/>
      <c r="S21" s="75">
        <v>0.68</v>
      </c>
      <c r="T21" s="64"/>
      <c r="U21" s="75">
        <v>0.68</v>
      </c>
      <c r="V21" s="64"/>
      <c r="W21" s="75">
        <v>0.68</v>
      </c>
      <c r="X21" s="64"/>
      <c r="Y21" s="75">
        <v>0.68</v>
      </c>
      <c r="Z21" s="64"/>
      <c r="AA21" s="75">
        <v>0.68</v>
      </c>
      <c r="AB21" s="64"/>
      <c r="AC21" s="75">
        <v>0.68</v>
      </c>
      <c r="AD21" s="64"/>
      <c r="AE21" s="75">
        <v>0.68</v>
      </c>
      <c r="AF21" s="64"/>
      <c r="AG21" s="75">
        <v>0.68</v>
      </c>
      <c r="AH21" s="64"/>
      <c r="AI21" s="75">
        <v>0.68</v>
      </c>
      <c r="AJ21" s="65"/>
      <c r="AK21" s="7"/>
    </row>
    <row r="22" spans="1:37" x14ac:dyDescent="0.25">
      <c r="A22" s="7"/>
      <c r="B22" s="50" t="s">
        <v>14</v>
      </c>
      <c r="C22" s="76">
        <f>C30/C20</f>
        <v>78.599807401812697</v>
      </c>
      <c r="D22" s="59"/>
      <c r="E22" s="76">
        <f>E30/E20</f>
        <v>79.32663934426229</v>
      </c>
      <c r="F22" s="59"/>
      <c r="G22" s="76">
        <f>G30/G20</f>
        <v>82.795695695695699</v>
      </c>
      <c r="H22" s="59"/>
      <c r="I22" s="76">
        <f>I30/I20</f>
        <v>92.432130629444302</v>
      </c>
      <c r="J22" s="72"/>
      <c r="K22" s="73"/>
      <c r="L22" s="62"/>
      <c r="M22" s="62"/>
      <c r="N22" s="62"/>
      <c r="O22" s="77">
        <f>I22*(1+O23)</f>
        <v>96.129415854622081</v>
      </c>
      <c r="P22" s="64"/>
      <c r="Q22" s="77">
        <f>O22*(1+Q23)</f>
        <v>100.93588664735319</v>
      </c>
      <c r="R22" s="64"/>
      <c r="S22" s="77">
        <f>Q22*(1+S23)</f>
        <v>105.98268097972085</v>
      </c>
      <c r="T22" s="64"/>
      <c r="U22" s="77">
        <f>S22*(1+U23)</f>
        <v>109.16216140911249</v>
      </c>
      <c r="V22" s="64"/>
      <c r="W22" s="77">
        <f>U22*(1+W23)</f>
        <v>112.43702625138586</v>
      </c>
      <c r="X22" s="64"/>
      <c r="Y22" s="77">
        <f>W22*(1+Y23)</f>
        <v>115.81013703892744</v>
      </c>
      <c r="Z22" s="64"/>
      <c r="AA22" s="77">
        <f>Y22*(1+AA23)</f>
        <v>119.28444115009526</v>
      </c>
      <c r="AB22" s="64"/>
      <c r="AC22" s="77">
        <f>AA22*(1+AC23)</f>
        <v>122.86297438459812</v>
      </c>
      <c r="AD22" s="64"/>
      <c r="AE22" s="77">
        <f>AC22*(1+AE23)</f>
        <v>126.54886361613606</v>
      </c>
      <c r="AF22" s="64"/>
      <c r="AG22" s="77">
        <f>AE22*(1+AG23)</f>
        <v>130.34532952462015</v>
      </c>
      <c r="AH22" s="64"/>
      <c r="AI22" s="77">
        <f>AG22*(1+AI23)</f>
        <v>134.25568941035877</v>
      </c>
      <c r="AJ22" s="65"/>
      <c r="AK22" s="7"/>
    </row>
    <row r="23" spans="1:37" x14ac:dyDescent="0.25">
      <c r="A23" s="7"/>
      <c r="B23" s="78" t="s">
        <v>15</v>
      </c>
      <c r="C23" s="79" t="s">
        <v>16</v>
      </c>
      <c r="D23" s="80"/>
      <c r="E23" s="81">
        <f>(E22/C22)-1</f>
        <v>9.2472483899856961E-3</v>
      </c>
      <c r="F23" s="52"/>
      <c r="G23" s="81">
        <f>(G22/E22)-1</f>
        <v>4.3731291027953034E-2</v>
      </c>
      <c r="H23" s="52"/>
      <c r="I23" s="81">
        <f>(I22/G22)-1</f>
        <v>0.11638811477792288</v>
      </c>
      <c r="J23" s="72"/>
      <c r="K23" s="73"/>
      <c r="L23" s="82"/>
      <c r="M23" s="82"/>
      <c r="N23" s="82"/>
      <c r="O23" s="83">
        <v>0.04</v>
      </c>
      <c r="P23" s="84"/>
      <c r="Q23" s="83">
        <v>0.05</v>
      </c>
      <c r="R23" s="56"/>
      <c r="S23" s="83">
        <v>0.05</v>
      </c>
      <c r="T23" s="56"/>
      <c r="U23" s="83">
        <v>0.03</v>
      </c>
      <c r="V23" s="56"/>
      <c r="W23" s="83">
        <v>0.03</v>
      </c>
      <c r="X23" s="56"/>
      <c r="Y23" s="83">
        <v>0.03</v>
      </c>
      <c r="Z23" s="56"/>
      <c r="AA23" s="83">
        <v>0.03</v>
      </c>
      <c r="AB23" s="56"/>
      <c r="AC23" s="83">
        <v>0.03</v>
      </c>
      <c r="AD23" s="56"/>
      <c r="AE23" s="83">
        <v>0.03</v>
      </c>
      <c r="AF23" s="56"/>
      <c r="AG23" s="83">
        <v>0.03</v>
      </c>
      <c r="AH23" s="56"/>
      <c r="AI23" s="83">
        <v>0.03</v>
      </c>
      <c r="AJ23" s="57"/>
      <c r="AK23" s="7"/>
    </row>
    <row r="24" spans="1:37" x14ac:dyDescent="0.25">
      <c r="A24" s="7"/>
      <c r="B24" s="50" t="s">
        <v>17</v>
      </c>
      <c r="C24" s="85">
        <f>C30/C19</f>
        <v>51.03425914249685</v>
      </c>
      <c r="D24" s="80"/>
      <c r="E24" s="85">
        <f>E30/E19</f>
        <v>54.389041095890413</v>
      </c>
      <c r="F24" s="59"/>
      <c r="G24" s="85">
        <f>G30/G19</f>
        <v>58.105303828591502</v>
      </c>
      <c r="H24" s="59"/>
      <c r="I24" s="85">
        <f>I30/I19</f>
        <v>61.637653670530383</v>
      </c>
      <c r="J24" s="72"/>
      <c r="K24" s="73"/>
      <c r="L24" s="62"/>
      <c r="M24" s="62"/>
      <c r="N24" s="62"/>
      <c r="O24" s="86">
        <f>O22*O20/O19</f>
        <v>65.368002781143019</v>
      </c>
      <c r="P24" s="84"/>
      <c r="Q24" s="86">
        <f>Q22*Q20/Q19</f>
        <v>68.636402920200169</v>
      </c>
      <c r="R24" s="64"/>
      <c r="S24" s="86">
        <f>S22*S20/S19</f>
        <v>72.068223066210194</v>
      </c>
      <c r="T24" s="64"/>
      <c r="U24" s="86">
        <f>U22*U20/U19</f>
        <v>74.230269758196499</v>
      </c>
      <c r="V24" s="64"/>
      <c r="W24" s="86">
        <f>W22*W20/W19</f>
        <v>76.457177850942401</v>
      </c>
      <c r="X24" s="64"/>
      <c r="Y24" s="86">
        <f>Y22*Y20/Y19</f>
        <v>78.750893186470662</v>
      </c>
      <c r="Z24" s="64"/>
      <c r="AA24" s="86">
        <f>AA22*AA20/AA19</f>
        <v>81.113419982064784</v>
      </c>
      <c r="AB24" s="64"/>
      <c r="AC24" s="86">
        <f>AC22*AC20/AC19</f>
        <v>83.54682258152674</v>
      </c>
      <c r="AD24" s="64"/>
      <c r="AE24" s="86">
        <f>AE22*AE20/AE19</f>
        <v>86.053227258972527</v>
      </c>
      <c r="AF24" s="64"/>
      <c r="AG24" s="86">
        <f>AG22*AG20/AG19</f>
        <v>88.634824076741722</v>
      </c>
      <c r="AH24" s="64"/>
      <c r="AI24" s="86">
        <f>AI22*AI20/AI19</f>
        <v>91.293868799043963</v>
      </c>
      <c r="AJ24" s="65"/>
      <c r="AK24" s="7"/>
    </row>
    <row r="25" spans="1:37" x14ac:dyDescent="0.25">
      <c r="A25" s="7"/>
      <c r="B25" s="78" t="s">
        <v>18</v>
      </c>
      <c r="C25" s="51" t="s">
        <v>16</v>
      </c>
      <c r="D25" s="59"/>
      <c r="E25" s="81">
        <f>(E24/C24)-1</f>
        <v>6.5735880362765897E-2</v>
      </c>
      <c r="F25" s="59"/>
      <c r="G25" s="81">
        <f>(G24/E24)-1</f>
        <v>6.8327417763242915E-2</v>
      </c>
      <c r="H25" s="59"/>
      <c r="I25" s="81">
        <f>(I24/G24)-1</f>
        <v>6.079221016310643E-2</v>
      </c>
      <c r="J25" s="72"/>
      <c r="K25" s="73"/>
      <c r="L25" s="82"/>
      <c r="M25" s="82"/>
      <c r="N25" s="82"/>
      <c r="O25" s="87">
        <f>O24/I24-1</f>
        <v>6.0520621543323827E-2</v>
      </c>
      <c r="P25" s="64"/>
      <c r="Q25" s="87">
        <f>Q24/O24-1</f>
        <v>5.0000000000000044E-2</v>
      </c>
      <c r="R25" s="64"/>
      <c r="S25" s="87">
        <f>S24/Q24-1</f>
        <v>5.0000000000000266E-2</v>
      </c>
      <c r="T25" s="64"/>
      <c r="U25" s="87">
        <f>U24/S24-1</f>
        <v>3.0000000000000027E-2</v>
      </c>
      <c r="V25" s="64"/>
      <c r="W25" s="87">
        <f>W24/U24-1</f>
        <v>3.0000000000000027E-2</v>
      </c>
      <c r="X25" s="64"/>
      <c r="Y25" s="87">
        <f>Y24/W24-1</f>
        <v>2.9999999999999805E-2</v>
      </c>
      <c r="Z25" s="64"/>
      <c r="AA25" s="87">
        <f>AA24/Y24-1</f>
        <v>3.0000000000000027E-2</v>
      </c>
      <c r="AB25" s="64"/>
      <c r="AC25" s="87">
        <f>AC24/AA24-1</f>
        <v>3.0000000000000249E-2</v>
      </c>
      <c r="AD25" s="64"/>
      <c r="AE25" s="87">
        <f>AE24/AC24-1</f>
        <v>2.9999999999999805E-2</v>
      </c>
      <c r="AF25" s="64"/>
      <c r="AG25" s="87">
        <f>AG24/AE24-1</f>
        <v>3.0000000000000249E-2</v>
      </c>
      <c r="AH25" s="64"/>
      <c r="AI25" s="87">
        <f>AI24/AG24-1</f>
        <v>2.9999999999999805E-2</v>
      </c>
      <c r="AJ25" s="65"/>
      <c r="AK25" s="7"/>
    </row>
    <row r="26" spans="1:37" x14ac:dyDescent="0.25">
      <c r="A26" s="7"/>
      <c r="B26" s="78" t="s">
        <v>19</v>
      </c>
      <c r="C26" s="85">
        <f>C55/C19</f>
        <v>45.546282751856523</v>
      </c>
      <c r="D26" s="59"/>
      <c r="E26" s="85">
        <f>E55/E19</f>
        <v>51.592133122585167</v>
      </c>
      <c r="F26" s="59"/>
      <c r="G26" s="85">
        <f>G55/G19</f>
        <v>53.739568317527215</v>
      </c>
      <c r="H26" s="59"/>
      <c r="I26" s="85">
        <f>I55/I19</f>
        <v>57.054337899543377</v>
      </c>
      <c r="J26" s="72"/>
      <c r="K26" s="73"/>
      <c r="L26" s="82"/>
      <c r="M26" s="82"/>
      <c r="N26" s="82"/>
      <c r="O26" s="86">
        <f>O55/O19</f>
        <v>55.911279952183961</v>
      </c>
      <c r="P26" s="64"/>
      <c r="Q26" s="86">
        <f>Q55/Q19</f>
        <v>59.943545924909962</v>
      </c>
      <c r="R26" s="64"/>
      <c r="S26" s="86">
        <f>S55/S19</f>
        <v>63.251697649743818</v>
      </c>
      <c r="T26" s="64"/>
      <c r="U26" s="86">
        <f>U55/U19</f>
        <v>65.149248579236101</v>
      </c>
      <c r="V26" s="64"/>
      <c r="W26" s="86">
        <f>W55/W19</f>
        <v>67.127035005249382</v>
      </c>
      <c r="X26" s="64"/>
      <c r="Y26" s="86">
        <f>Y55/Y19</f>
        <v>69.116794210575065</v>
      </c>
      <c r="Z26" s="64"/>
      <c r="AA26" s="86">
        <f>AA55/AA19</f>
        <v>71.190298036892329</v>
      </c>
      <c r="AB26" s="64"/>
      <c r="AC26" s="86">
        <f>AC55/AC19</f>
        <v>73.326006977999114</v>
      </c>
      <c r="AD26" s="64"/>
      <c r="AE26" s="86">
        <f>AE55/AE19</f>
        <v>75.552021680555825</v>
      </c>
      <c r="AF26" s="64"/>
      <c r="AG26" s="86">
        <f>AG55/AG19</f>
        <v>77.791511722661426</v>
      </c>
      <c r="AH26" s="64"/>
      <c r="AI26" s="86">
        <f>AI55/AI19</f>
        <v>80.125257074341263</v>
      </c>
      <c r="AJ26" s="65"/>
      <c r="AK26" s="7"/>
    </row>
    <row r="27" spans="1:37" x14ac:dyDescent="0.25">
      <c r="A27" s="7"/>
      <c r="B27" s="88" t="s">
        <v>20</v>
      </c>
      <c r="C27" s="51" t="s">
        <v>16</v>
      </c>
      <c r="D27" s="59"/>
      <c r="E27" s="81">
        <f>(E26/C26)-1</f>
        <v>0.13274080793085585</v>
      </c>
      <c r="F27" s="59"/>
      <c r="G27" s="81">
        <f>(G26/E26)-1</f>
        <v>4.1623306984412745E-2</v>
      </c>
      <c r="H27" s="59"/>
      <c r="I27" s="81">
        <f>(I26/G26)-1</f>
        <v>6.1682102886097212E-2</v>
      </c>
      <c r="J27" s="72"/>
      <c r="K27" s="73"/>
      <c r="L27" s="89"/>
      <c r="M27" s="89"/>
      <c r="N27" s="89"/>
      <c r="O27" s="90">
        <f>(O26/I26)-1</f>
        <v>-2.003454933386517E-2</v>
      </c>
      <c r="P27" s="91"/>
      <c r="Q27" s="90">
        <f>(Q26/O26)-1</f>
        <v>7.211900668656579E-2</v>
      </c>
      <c r="R27" s="91"/>
      <c r="S27" s="90">
        <f>(S26/Q26)-1</f>
        <v>5.5187788339680521E-2</v>
      </c>
      <c r="T27" s="91"/>
      <c r="U27" s="90">
        <f>(U26/S26)-1</f>
        <v>2.9999999999999583E-2</v>
      </c>
      <c r="V27" s="91"/>
      <c r="W27" s="90">
        <f>(W26/U26)-1</f>
        <v>3.0357778011942171E-2</v>
      </c>
      <c r="X27" s="91"/>
      <c r="Y27" s="90">
        <f>(Y26/W26)-1</f>
        <v>2.9641696600633205E-2</v>
      </c>
      <c r="Z27" s="91"/>
      <c r="AA27" s="90">
        <f>(AA26/Y26)-1</f>
        <v>3.0000000000000249E-2</v>
      </c>
      <c r="AB27" s="91"/>
      <c r="AC27" s="90">
        <f>(AC26/AA26)-1</f>
        <v>3.0000000000000249E-2</v>
      </c>
      <c r="AD27" s="91"/>
      <c r="AE27" s="90">
        <f>(AE26/AC26)-1</f>
        <v>3.0357778833158156E-2</v>
      </c>
      <c r="AF27" s="91"/>
      <c r="AG27" s="90">
        <f>(AG26/AE26)-1</f>
        <v>2.9641695778499066E-2</v>
      </c>
      <c r="AH27" s="91"/>
      <c r="AI27" s="90">
        <f>(AI26/AG26)-1</f>
        <v>3.0000000000000027E-2</v>
      </c>
      <c r="AJ27" s="92"/>
      <c r="AK27" s="7"/>
    </row>
    <row r="28" spans="1:37" x14ac:dyDescent="0.25">
      <c r="A28" s="7"/>
      <c r="B28" s="93"/>
      <c r="C28" s="94" t="s">
        <v>21</v>
      </c>
      <c r="D28" s="95" t="s">
        <v>22</v>
      </c>
      <c r="E28" s="94" t="s">
        <v>21</v>
      </c>
      <c r="F28" s="95" t="s">
        <v>22</v>
      </c>
      <c r="G28" s="94" t="s">
        <v>21</v>
      </c>
      <c r="H28" s="95" t="s">
        <v>22</v>
      </c>
      <c r="I28" s="94" t="s">
        <v>21</v>
      </c>
      <c r="J28" s="96" t="s">
        <v>22</v>
      </c>
      <c r="K28" s="97"/>
      <c r="L28" s="98"/>
      <c r="M28" s="98"/>
      <c r="N28" s="98"/>
      <c r="O28" s="99" t="s">
        <v>23</v>
      </c>
      <c r="P28" s="100" t="s">
        <v>24</v>
      </c>
      <c r="Q28" s="99" t="s">
        <v>23</v>
      </c>
      <c r="R28" s="100" t="s">
        <v>24</v>
      </c>
      <c r="S28" s="99" t="s">
        <v>23</v>
      </c>
      <c r="T28" s="100" t="s">
        <v>24</v>
      </c>
      <c r="U28" s="99" t="s">
        <v>23</v>
      </c>
      <c r="V28" s="100" t="s">
        <v>24</v>
      </c>
      <c r="W28" s="99" t="s">
        <v>23</v>
      </c>
      <c r="X28" s="100" t="s">
        <v>24</v>
      </c>
      <c r="Y28" s="99" t="s">
        <v>23</v>
      </c>
      <c r="Z28" s="100" t="s">
        <v>24</v>
      </c>
      <c r="AA28" s="99" t="s">
        <v>23</v>
      </c>
      <c r="AB28" s="100" t="s">
        <v>24</v>
      </c>
      <c r="AC28" s="99" t="s">
        <v>23</v>
      </c>
      <c r="AD28" s="100" t="s">
        <v>24</v>
      </c>
      <c r="AE28" s="99" t="s">
        <v>23</v>
      </c>
      <c r="AF28" s="100" t="s">
        <v>24</v>
      </c>
      <c r="AG28" s="99" t="s">
        <v>23</v>
      </c>
      <c r="AH28" s="100" t="s">
        <v>24</v>
      </c>
      <c r="AI28" s="99" t="s">
        <v>23</v>
      </c>
      <c r="AJ28" s="101" t="s">
        <v>24</v>
      </c>
      <c r="AK28" s="7"/>
    </row>
    <row r="29" spans="1:37" x14ac:dyDescent="0.25">
      <c r="A29" s="7"/>
      <c r="B29" s="102" t="s">
        <v>0</v>
      </c>
      <c r="C29" s="103"/>
      <c r="D29" s="104"/>
      <c r="E29" s="105"/>
      <c r="F29" s="106"/>
      <c r="G29" s="107"/>
      <c r="H29" s="106"/>
      <c r="I29" s="107"/>
      <c r="J29" s="108"/>
      <c r="K29" s="109"/>
      <c r="L29" s="110"/>
      <c r="M29" s="110"/>
      <c r="N29" s="110"/>
      <c r="O29" s="111"/>
      <c r="P29" s="112"/>
      <c r="Q29" s="113"/>
      <c r="R29" s="112"/>
      <c r="S29" s="113"/>
      <c r="T29" s="112"/>
      <c r="U29" s="113"/>
      <c r="V29" s="112"/>
      <c r="W29" s="113"/>
      <c r="X29" s="112"/>
      <c r="Y29" s="113"/>
      <c r="Z29" s="112"/>
      <c r="AA29" s="113"/>
      <c r="AB29" s="112"/>
      <c r="AC29" s="113"/>
      <c r="AD29" s="112"/>
      <c r="AE29" s="113"/>
      <c r="AF29" s="112"/>
      <c r="AG29" s="113"/>
      <c r="AH29" s="112"/>
      <c r="AI29" s="113"/>
      <c r="AJ29" s="114"/>
      <c r="AK29" s="7"/>
    </row>
    <row r="30" spans="1:37" x14ac:dyDescent="0.25">
      <c r="A30" s="7"/>
      <c r="B30" s="115" t="s">
        <v>1</v>
      </c>
      <c r="C30" s="116">
        <v>1456926.03</v>
      </c>
      <c r="D30" s="117">
        <f>C30/C$49</f>
        <v>0.79709478067242134</v>
      </c>
      <c r="E30" s="116">
        <v>1548456</v>
      </c>
      <c r="F30" s="117">
        <f>E30/E$49</f>
        <v>0.70815073142913298</v>
      </c>
      <c r="G30" s="116">
        <v>1654258</v>
      </c>
      <c r="H30" s="117">
        <f>G30/G$49</f>
        <v>0.72579384164852434</v>
      </c>
      <c r="I30" s="116">
        <v>1754824</v>
      </c>
      <c r="J30" s="118">
        <f>I30/I$49</f>
        <v>0.73291826369076185</v>
      </c>
      <c r="K30" s="119"/>
      <c r="L30" s="120"/>
      <c r="M30" s="120"/>
      <c r="N30" s="120"/>
      <c r="O30" s="121">
        <f>O24*O19</f>
        <v>1866125.743396071</v>
      </c>
      <c r="P30" s="122">
        <f>O30/O$49</f>
        <v>0.81931214908401129</v>
      </c>
      <c r="Q30" s="121">
        <f>Q24*Q19</f>
        <v>1954078.3911380989</v>
      </c>
      <c r="R30" s="122">
        <f>Q30/Q$49</f>
        <v>0.82214169223674838</v>
      </c>
      <c r="S30" s="121">
        <f>S24*S19</f>
        <v>2051782.3106950042</v>
      </c>
      <c r="T30" s="122">
        <f>S30/S$49</f>
        <v>0.82493639301530097</v>
      </c>
      <c r="U30" s="121">
        <f>U24*U19</f>
        <v>2113335.7800158542</v>
      </c>
      <c r="V30" s="122">
        <f>U30/U$49</f>
        <v>0.82493639301530108</v>
      </c>
      <c r="W30" s="121">
        <f>W24*W19</f>
        <v>2182699.5132887037</v>
      </c>
      <c r="X30" s="122">
        <f>W30/W$49</f>
        <v>0.82493639301530097</v>
      </c>
      <c r="Y30" s="121">
        <f>Y24*Y19</f>
        <v>2242037.9290188197</v>
      </c>
      <c r="Z30" s="122">
        <f>Y30/Y$49</f>
        <v>0.82493639301530119</v>
      </c>
      <c r="AA30" s="121">
        <f>AA24*AA19</f>
        <v>2309299.0668893843</v>
      </c>
      <c r="AB30" s="122">
        <f>AA30/AA$49</f>
        <v>0.82493639301530097</v>
      </c>
      <c r="AC30" s="121">
        <f>AC24*AC19</f>
        <v>2378578.0388960661</v>
      </c>
      <c r="AD30" s="122">
        <f>AC30/AC$49</f>
        <v>0.82493639301530097</v>
      </c>
      <c r="AE30" s="121">
        <f>AE24*AE19</f>
        <v>2456647.5317891478</v>
      </c>
      <c r="AF30" s="122">
        <f>AE30/AE$49</f>
        <v>0.82493639301530097</v>
      </c>
      <c r="AG30" s="121">
        <f>AG24*AG19</f>
        <v>2523433.4414648367</v>
      </c>
      <c r="AH30" s="122">
        <f>AG30/AG$49</f>
        <v>0.82493639301530108</v>
      </c>
      <c r="AI30" s="121">
        <f>AI24*AI19</f>
        <v>2599136.4447087818</v>
      </c>
      <c r="AJ30" s="123">
        <f>AI30/AI$49</f>
        <v>0.82493639301530119</v>
      </c>
      <c r="AK30" s="7"/>
    </row>
    <row r="31" spans="1:37" x14ac:dyDescent="0.25">
      <c r="A31" s="7"/>
      <c r="B31" s="115" t="s">
        <v>2</v>
      </c>
      <c r="C31" s="124">
        <f>246571.72+14537.33+843</f>
        <v>261952.05</v>
      </c>
      <c r="D31" s="117">
        <f>C31/C$49</f>
        <v>0.14331586336022917</v>
      </c>
      <c r="E31" s="124">
        <f>418787.29+42038.51+1779.63</f>
        <v>462605.43</v>
      </c>
      <c r="F31" s="117">
        <f>E31/E$49</f>
        <v>0.21156195178783804</v>
      </c>
      <c r="G31" s="124">
        <v>512587</v>
      </c>
      <c r="H31" s="117">
        <f>G31/G$49</f>
        <v>0.22489387260577984</v>
      </c>
      <c r="I31" s="124">
        <v>512487</v>
      </c>
      <c r="J31" s="118">
        <f>I31/I$49</f>
        <v>0.21404487413215653</v>
      </c>
      <c r="K31" s="119"/>
      <c r="L31" s="120"/>
      <c r="M31" s="120"/>
      <c r="N31" s="120"/>
      <c r="O31" s="125">
        <f>O33*O$20</f>
        <v>281483.28000000003</v>
      </c>
      <c r="P31" s="122">
        <f>O31/O$49</f>
        <v>0.12358367161706776</v>
      </c>
      <c r="Q31" s="125">
        <f>Q33*Q$20</f>
        <v>289135.62600000005</v>
      </c>
      <c r="R31" s="122">
        <f>Q31/Q$49</f>
        <v>0.121648370875809</v>
      </c>
      <c r="S31" s="125">
        <f>S33*S$20</f>
        <v>297809.69478000002</v>
      </c>
      <c r="T31" s="122">
        <f>S31/S$49</f>
        <v>0.11973690100368556</v>
      </c>
      <c r="U31" s="125">
        <f>U33*U$20</f>
        <v>306743.98562340008</v>
      </c>
      <c r="V31" s="122">
        <f>U31/U$49</f>
        <v>0.11973690100368561</v>
      </c>
      <c r="W31" s="125">
        <f>W33*W$20</f>
        <v>316811.9115076969</v>
      </c>
      <c r="X31" s="122">
        <f>W31/W$49</f>
        <v>0.11973690100368559</v>
      </c>
      <c r="Y31" s="125">
        <f>Y33*Y$20</f>
        <v>325424.69434786518</v>
      </c>
      <c r="Z31" s="122">
        <f>Y31/Y$49</f>
        <v>0.11973690100368563</v>
      </c>
      <c r="AA31" s="125">
        <f>AA33*AA$20</f>
        <v>335187.43517830112</v>
      </c>
      <c r="AB31" s="122">
        <f>AA31/AA$49</f>
        <v>0.1197369010036856</v>
      </c>
      <c r="AC31" s="125">
        <f>AC33*AC$20</f>
        <v>345243.05823365017</v>
      </c>
      <c r="AD31" s="122">
        <f>AC31/AC$49</f>
        <v>0.11973690100368559</v>
      </c>
      <c r="AE31" s="125">
        <f>AE33*AE$20</f>
        <v>356574.59751485329</v>
      </c>
      <c r="AF31" s="122">
        <f>AE31/AE$49</f>
        <v>0.1197369010036856</v>
      </c>
      <c r="AG31" s="125">
        <f>AG33*AG$20</f>
        <v>366268.36048007949</v>
      </c>
      <c r="AH31" s="122">
        <f>AG31/AG$49</f>
        <v>0.1197369010036856</v>
      </c>
      <c r="AI31" s="125">
        <f>AI33*AI$20</f>
        <v>377256.41129448189</v>
      </c>
      <c r="AJ31" s="123">
        <f>AI31/AI$49</f>
        <v>0.11973690100368563</v>
      </c>
      <c r="AK31" s="7"/>
    </row>
    <row r="32" spans="1:37" ht="5.0999999999999996" hidden="1" customHeight="1" outlineLevel="1" x14ac:dyDescent="0.25">
      <c r="A32" s="7"/>
      <c r="B32" s="115"/>
      <c r="C32" s="124"/>
      <c r="D32" s="117"/>
      <c r="E32" s="124"/>
      <c r="F32" s="117"/>
      <c r="G32" s="124"/>
      <c r="H32" s="117"/>
      <c r="I32" s="124"/>
      <c r="J32" s="118"/>
      <c r="K32" s="119"/>
      <c r="L32" s="120"/>
      <c r="M32" s="120"/>
      <c r="N32" s="120"/>
      <c r="O32" s="125"/>
      <c r="P32" s="122"/>
      <c r="Q32" s="126"/>
      <c r="R32" s="122"/>
      <c r="S32" s="126"/>
      <c r="T32" s="122"/>
      <c r="U32" s="126"/>
      <c r="V32" s="122"/>
      <c r="W32" s="126"/>
      <c r="X32" s="122"/>
      <c r="Y32" s="126"/>
      <c r="Z32" s="122"/>
      <c r="AA32" s="126"/>
      <c r="AB32" s="122"/>
      <c r="AC32" s="126"/>
      <c r="AD32" s="122"/>
      <c r="AE32" s="126"/>
      <c r="AF32" s="122"/>
      <c r="AG32" s="126"/>
      <c r="AH32" s="122"/>
      <c r="AI32" s="126"/>
      <c r="AJ32" s="123"/>
      <c r="AK32" s="7"/>
    </row>
    <row r="33" spans="1:37" ht="15.75" hidden="1" outlineLevel="1" thickBot="1" x14ac:dyDescent="0.3">
      <c r="A33" s="7"/>
      <c r="B33" s="127"/>
      <c r="C33" s="128"/>
      <c r="D33" s="129"/>
      <c r="E33" s="128"/>
      <c r="F33" s="129"/>
      <c r="G33" s="128"/>
      <c r="H33" s="129"/>
      <c r="I33" s="130">
        <f>I31/$I$20</f>
        <v>26.99431129839347</v>
      </c>
      <c r="J33" s="131"/>
      <c r="K33" s="132"/>
      <c r="L33" s="129"/>
      <c r="M33" s="133" t="s">
        <v>25</v>
      </c>
      <c r="N33" s="134"/>
      <c r="O33" s="135">
        <v>14.5</v>
      </c>
      <c r="P33" s="136"/>
      <c r="Q33" s="137">
        <f>O33*(1+IF($M35=$B$104,$N34,Q35))</f>
        <v>14.935</v>
      </c>
      <c r="R33" s="138"/>
      <c r="S33" s="137">
        <f>Q33*(1+IF($M35=$B$104,$N34,S35))</f>
        <v>15.383050000000001</v>
      </c>
      <c r="T33" s="138"/>
      <c r="U33" s="137">
        <f>S33*(1+IF($M35=$B$104,$N34,U35))</f>
        <v>15.844541500000002</v>
      </c>
      <c r="V33" s="138"/>
      <c r="W33" s="137">
        <f>U33*(1+IF($M35=$B$104,$N34,W35))</f>
        <v>16.319877745000003</v>
      </c>
      <c r="X33" s="138"/>
      <c r="Y33" s="137">
        <f>W33*(1+IF($M35=$B$104,$N34,Y35))</f>
        <v>16.809474077350004</v>
      </c>
      <c r="Z33" s="138"/>
      <c r="AA33" s="137">
        <f>Y33*(1+IF($M35=$B$104,$N34,AA35))</f>
        <v>17.313758299670504</v>
      </c>
      <c r="AB33" s="138"/>
      <c r="AC33" s="137">
        <f>AA33*(1+IF($M35=$B$104,$N34,AC35))</f>
        <v>17.833171048660621</v>
      </c>
      <c r="AD33" s="138"/>
      <c r="AE33" s="137">
        <f>AC33*(1+IF($M35=$B$104,$N34,AE35))</f>
        <v>18.36816618012044</v>
      </c>
      <c r="AF33" s="138"/>
      <c r="AG33" s="137">
        <f>AE33*(1+IF($M35=$B$104,$N34,AG35))</f>
        <v>18.919211165524054</v>
      </c>
      <c r="AH33" s="138"/>
      <c r="AI33" s="137">
        <f>AG33*(1+IF($M35=$B$104,$N34,AI35))</f>
        <v>19.486787500489775</v>
      </c>
      <c r="AJ33" s="139"/>
      <c r="AK33" s="7"/>
    </row>
    <row r="34" spans="1:37" hidden="1" outlineLevel="1" x14ac:dyDescent="0.25">
      <c r="A34" s="7"/>
      <c r="B34" s="127"/>
      <c r="C34" s="128"/>
      <c r="D34" s="129"/>
      <c r="E34" s="128"/>
      <c r="F34" s="129"/>
      <c r="G34" s="128"/>
      <c r="H34" s="129"/>
      <c r="I34" s="128"/>
      <c r="J34" s="131"/>
      <c r="K34" s="132"/>
      <c r="L34" s="129"/>
      <c r="M34" s="140" t="s">
        <v>26</v>
      </c>
      <c r="N34" s="141">
        <v>0.03</v>
      </c>
      <c r="O34" s="142">
        <f>$N34</f>
        <v>0.03</v>
      </c>
      <c r="P34" s="143"/>
      <c r="Q34" s="144">
        <f>$N34</f>
        <v>0.03</v>
      </c>
      <c r="R34" s="145"/>
      <c r="S34" s="144">
        <f>$N34</f>
        <v>0.03</v>
      </c>
      <c r="T34" s="145"/>
      <c r="U34" s="144">
        <f>$N34</f>
        <v>0.03</v>
      </c>
      <c r="V34" s="145"/>
      <c r="W34" s="144">
        <f>$N34</f>
        <v>0.03</v>
      </c>
      <c r="X34" s="145"/>
      <c r="Y34" s="144">
        <f>$N34</f>
        <v>0.03</v>
      </c>
      <c r="Z34" s="145"/>
      <c r="AA34" s="144">
        <f>$N34</f>
        <v>0.03</v>
      </c>
      <c r="AB34" s="145"/>
      <c r="AC34" s="144">
        <f>$N34</f>
        <v>0.03</v>
      </c>
      <c r="AD34" s="145"/>
      <c r="AE34" s="144">
        <f>$N34</f>
        <v>0.03</v>
      </c>
      <c r="AF34" s="145"/>
      <c r="AG34" s="144">
        <f>$N34</f>
        <v>0.03</v>
      </c>
      <c r="AH34" s="145"/>
      <c r="AI34" s="144">
        <f>$N34</f>
        <v>0.03</v>
      </c>
      <c r="AJ34" s="146"/>
      <c r="AK34" s="7"/>
    </row>
    <row r="35" spans="1:37" ht="15.75" hidden="1" outlineLevel="1" thickBot="1" x14ac:dyDescent="0.3">
      <c r="A35" s="7"/>
      <c r="B35" s="127"/>
      <c r="C35" s="128"/>
      <c r="D35" s="129"/>
      <c r="E35" s="128"/>
      <c r="F35" s="129"/>
      <c r="G35" s="128"/>
      <c r="H35" s="129"/>
      <c r="I35" s="128"/>
      <c r="J35" s="131"/>
      <c r="K35" s="132"/>
      <c r="L35" s="129"/>
      <c r="M35" s="147" t="s">
        <v>27</v>
      </c>
      <c r="N35" s="148" t="s">
        <v>28</v>
      </c>
      <c r="O35" s="149"/>
      <c r="P35" s="150"/>
      <c r="Q35" s="151">
        <v>0.05</v>
      </c>
      <c r="R35" s="152"/>
      <c r="S35" s="151">
        <v>0.03</v>
      </c>
      <c r="T35" s="152"/>
      <c r="U35" s="151">
        <v>0.02</v>
      </c>
      <c r="V35" s="152"/>
      <c r="W35" s="151">
        <v>0.02</v>
      </c>
      <c r="X35" s="152"/>
      <c r="Y35" s="151">
        <v>0.02</v>
      </c>
      <c r="Z35" s="152"/>
      <c r="AA35" s="151">
        <v>0.02</v>
      </c>
      <c r="AB35" s="152"/>
      <c r="AC35" s="151">
        <v>0.02</v>
      </c>
      <c r="AD35" s="152"/>
      <c r="AE35" s="151">
        <v>0.02</v>
      </c>
      <c r="AF35" s="152"/>
      <c r="AG35" s="151">
        <v>0.02</v>
      </c>
      <c r="AH35" s="152"/>
      <c r="AI35" s="151">
        <v>0.02</v>
      </c>
      <c r="AJ35" s="153"/>
      <c r="AK35" s="7"/>
    </row>
    <row r="36" spans="1:37" s="129" customFormat="1" hidden="1" outlineLevel="1" x14ac:dyDescent="0.25">
      <c r="A36" s="7"/>
      <c r="B36" s="154"/>
      <c r="C36" s="155"/>
      <c r="D36" s="156"/>
      <c r="E36" s="155"/>
      <c r="F36" s="156"/>
      <c r="G36" s="155"/>
      <c r="H36" s="156"/>
      <c r="I36" s="155"/>
      <c r="J36" s="157"/>
      <c r="K36" s="158"/>
      <c r="L36" s="159"/>
      <c r="M36" s="160"/>
      <c r="N36" s="160"/>
      <c r="O36" s="161"/>
      <c r="P36" s="162"/>
      <c r="Q36" s="163"/>
      <c r="R36" s="162"/>
      <c r="S36" s="163"/>
      <c r="T36" s="162"/>
      <c r="U36" s="163"/>
      <c r="V36" s="162"/>
      <c r="W36" s="163"/>
      <c r="X36" s="162"/>
      <c r="Y36" s="163"/>
      <c r="Z36" s="162"/>
      <c r="AA36" s="163"/>
      <c r="AB36" s="162"/>
      <c r="AC36" s="163"/>
      <c r="AD36" s="162"/>
      <c r="AE36" s="163"/>
      <c r="AF36" s="162"/>
      <c r="AG36" s="163"/>
      <c r="AH36" s="162"/>
      <c r="AI36" s="163"/>
      <c r="AJ36" s="164"/>
      <c r="AK36" s="7"/>
    </row>
    <row r="37" spans="1:37" collapsed="1" x14ac:dyDescent="0.25">
      <c r="A37" s="7"/>
      <c r="B37" s="115" t="s">
        <v>3</v>
      </c>
      <c r="C37" s="124">
        <v>90254</v>
      </c>
      <c r="D37" s="117">
        <f>C37/C$49</f>
        <v>4.9378616932809358E-2</v>
      </c>
      <c r="E37" s="124">
        <v>89562</v>
      </c>
      <c r="F37" s="117">
        <f>E37/E$49</f>
        <v>4.0959120445305523E-2</v>
      </c>
      <c r="G37" s="124">
        <v>93652</v>
      </c>
      <c r="H37" s="117">
        <f>G37/G$49</f>
        <v>4.1089143808322279E-2</v>
      </c>
      <c r="I37" s="124">
        <v>95000</v>
      </c>
      <c r="J37" s="118">
        <f>I37/I$49</f>
        <v>3.9677617271374435E-2</v>
      </c>
      <c r="K37" s="119"/>
      <c r="L37" s="120"/>
      <c r="M37" s="120"/>
      <c r="N37" s="120"/>
      <c r="O37" s="125">
        <f>O39*O$20</f>
        <v>97063.200000000012</v>
      </c>
      <c r="P37" s="122">
        <f>O37/O$49</f>
        <v>4.2615059178299226E-2</v>
      </c>
      <c r="Q37" s="125">
        <f>Q39*Q$20</f>
        <v>99701.940000000017</v>
      </c>
      <c r="R37" s="122">
        <f>Q37/Q$49</f>
        <v>4.1947714095106552E-2</v>
      </c>
      <c r="S37" s="125">
        <f>S39*S$20</f>
        <v>102692.99820000003</v>
      </c>
      <c r="T37" s="122">
        <f>S37/S$49</f>
        <v>4.1288586552995027E-2</v>
      </c>
      <c r="U37" s="125">
        <f>U39*U$20</f>
        <v>105773.78814600004</v>
      </c>
      <c r="V37" s="122">
        <f>U37/U$49</f>
        <v>4.1288586552995041E-2</v>
      </c>
      <c r="W37" s="125">
        <f>W39*W$20</f>
        <v>109245.48672679203</v>
      </c>
      <c r="X37" s="122">
        <f>W37/W$49</f>
        <v>4.1288586552995027E-2</v>
      </c>
      <c r="Y37" s="125">
        <f>Y39*Y$20</f>
        <v>112215.41184409143</v>
      </c>
      <c r="Z37" s="122">
        <f>Y37/Y$49</f>
        <v>4.1288586552995041E-2</v>
      </c>
      <c r="AA37" s="125">
        <f>AA39*AA$20</f>
        <v>115581.87419941417</v>
      </c>
      <c r="AB37" s="122">
        <f>AA37/AA$49</f>
        <v>4.1288586552995034E-2</v>
      </c>
      <c r="AC37" s="125">
        <f>AC39*AC$20</f>
        <v>119049.33042539661</v>
      </c>
      <c r="AD37" s="122">
        <f>AC37/AC$49</f>
        <v>4.1288586552995027E-2</v>
      </c>
      <c r="AE37" s="125">
        <f>AE39*AE$20</f>
        <v>122956.75776374251</v>
      </c>
      <c r="AF37" s="122">
        <f>AE37/AE$49</f>
        <v>4.1288586552995034E-2</v>
      </c>
      <c r="AG37" s="125">
        <f>AG39*AG$20</f>
        <v>126299.43464830327</v>
      </c>
      <c r="AH37" s="122">
        <f>AG37/AG$49</f>
        <v>4.1288586552995034E-2</v>
      </c>
      <c r="AI37" s="125">
        <f>AI39*AI$20</f>
        <v>130088.41768775236</v>
      </c>
      <c r="AJ37" s="123">
        <f>AI37/AI$49</f>
        <v>4.1288586552995034E-2</v>
      </c>
      <c r="AK37" s="7"/>
    </row>
    <row r="38" spans="1:37" ht="5.0999999999999996" hidden="1" customHeight="1" outlineLevel="1" x14ac:dyDescent="0.25">
      <c r="A38" s="7"/>
      <c r="B38" s="115"/>
      <c r="C38" s="124"/>
      <c r="D38" s="117"/>
      <c r="E38" s="124"/>
      <c r="F38" s="117"/>
      <c r="G38" s="124"/>
      <c r="H38" s="117"/>
      <c r="I38" s="124"/>
      <c r="J38" s="118"/>
      <c r="K38" s="119"/>
      <c r="L38" s="120"/>
      <c r="M38" s="120"/>
      <c r="N38" s="120"/>
      <c r="O38" s="125"/>
      <c r="P38" s="122"/>
      <c r="Q38" s="126"/>
      <c r="R38" s="122"/>
      <c r="S38" s="126"/>
      <c r="T38" s="122"/>
      <c r="U38" s="126"/>
      <c r="V38" s="122"/>
      <c r="W38" s="126"/>
      <c r="X38" s="122"/>
      <c r="Y38" s="126"/>
      <c r="Z38" s="122"/>
      <c r="AA38" s="126"/>
      <c r="AB38" s="122"/>
      <c r="AC38" s="126"/>
      <c r="AD38" s="122"/>
      <c r="AE38" s="126"/>
      <c r="AF38" s="122"/>
      <c r="AG38" s="126"/>
      <c r="AH38" s="122"/>
      <c r="AI38" s="126"/>
      <c r="AJ38" s="123"/>
      <c r="AK38" s="7"/>
    </row>
    <row r="39" spans="1:37" ht="15.75" hidden="1" outlineLevel="1" thickBot="1" x14ac:dyDescent="0.3">
      <c r="A39" s="7"/>
      <c r="B39" s="127"/>
      <c r="C39" s="128"/>
      <c r="D39" s="129"/>
      <c r="E39" s="128"/>
      <c r="F39" s="129"/>
      <c r="G39" s="128"/>
      <c r="H39" s="129"/>
      <c r="I39" s="130">
        <f>I37/$I$20</f>
        <v>5.0039504872267582</v>
      </c>
      <c r="J39" s="131"/>
      <c r="K39" s="132"/>
      <c r="L39" s="129"/>
      <c r="M39" s="165" t="s">
        <v>25</v>
      </c>
      <c r="N39" s="166"/>
      <c r="O39" s="135">
        <v>5</v>
      </c>
      <c r="P39" s="136"/>
      <c r="Q39" s="137">
        <f>O39*(1+IF($M41=$B$104,$N40,Q41))</f>
        <v>5.15</v>
      </c>
      <c r="R39" s="138"/>
      <c r="S39" s="137">
        <f>Q39*(1+IF($M41=$B$104,$N40,S41))</f>
        <v>5.3045000000000009</v>
      </c>
      <c r="T39" s="138"/>
      <c r="U39" s="137">
        <f>S39*(1+IF($M41=$B$104,$N40,U41))</f>
        <v>5.4636350000000009</v>
      </c>
      <c r="V39" s="138"/>
      <c r="W39" s="137">
        <f>U39*(1+IF($M41=$B$104,$N40,W41))</f>
        <v>5.6275440500000009</v>
      </c>
      <c r="X39" s="138"/>
      <c r="Y39" s="137">
        <f>W39*(1+IF($M41=$B$104,$N40,Y41))</f>
        <v>5.796370371500001</v>
      </c>
      <c r="Z39" s="138"/>
      <c r="AA39" s="137">
        <f>Y39*(1+IF($M41=$B$104,$N40,AA41))</f>
        <v>5.9702614826450011</v>
      </c>
      <c r="AB39" s="138"/>
      <c r="AC39" s="137">
        <f>AA39*(1+IF($M41=$B$104,$N40,AC41))</f>
        <v>6.1493693271243517</v>
      </c>
      <c r="AD39" s="138"/>
      <c r="AE39" s="137">
        <f>AC39*(1+IF($M41=$B$104,$N40,AE41))</f>
        <v>6.3338504069380823</v>
      </c>
      <c r="AF39" s="138"/>
      <c r="AG39" s="137">
        <f>AE39*(1+IF($M41=$B$104,$N40,AG41))</f>
        <v>6.5238659191462247</v>
      </c>
      <c r="AH39" s="138"/>
      <c r="AI39" s="137">
        <f>AG39*(1+IF($M41=$B$104,$N40,AI41))</f>
        <v>6.7195818967206113</v>
      </c>
      <c r="AJ39" s="139"/>
      <c r="AK39" s="7"/>
    </row>
    <row r="40" spans="1:37" hidden="1" outlineLevel="1" x14ac:dyDescent="0.25">
      <c r="A40" s="7"/>
      <c r="B40" s="127"/>
      <c r="C40" s="128"/>
      <c r="D40" s="129"/>
      <c r="E40" s="128"/>
      <c r="F40" s="129"/>
      <c r="G40" s="128"/>
      <c r="H40" s="129"/>
      <c r="I40" s="128"/>
      <c r="J40" s="131"/>
      <c r="K40" s="132"/>
      <c r="L40" s="129"/>
      <c r="M40" s="140" t="s">
        <v>26</v>
      </c>
      <c r="N40" s="141">
        <v>0.03</v>
      </c>
      <c r="O40" s="142"/>
      <c r="P40" s="143"/>
      <c r="Q40" s="144">
        <f>$N40</f>
        <v>0.03</v>
      </c>
      <c r="R40" s="145"/>
      <c r="S40" s="144">
        <f>$N40</f>
        <v>0.03</v>
      </c>
      <c r="T40" s="145"/>
      <c r="U40" s="144">
        <f>$N40</f>
        <v>0.03</v>
      </c>
      <c r="V40" s="145"/>
      <c r="W40" s="144">
        <f>$N40</f>
        <v>0.03</v>
      </c>
      <c r="X40" s="145"/>
      <c r="Y40" s="144">
        <f>$N40</f>
        <v>0.03</v>
      </c>
      <c r="Z40" s="145"/>
      <c r="AA40" s="144">
        <f>$N40</f>
        <v>0.03</v>
      </c>
      <c r="AB40" s="145"/>
      <c r="AC40" s="144">
        <f>$N40</f>
        <v>0.03</v>
      </c>
      <c r="AD40" s="145"/>
      <c r="AE40" s="144">
        <f>$N40</f>
        <v>0.03</v>
      </c>
      <c r="AF40" s="145"/>
      <c r="AG40" s="144">
        <f>$N40</f>
        <v>0.03</v>
      </c>
      <c r="AH40" s="145"/>
      <c r="AI40" s="144">
        <f>$N40</f>
        <v>0.03</v>
      </c>
      <c r="AJ40" s="146"/>
      <c r="AK40" s="7"/>
    </row>
    <row r="41" spans="1:37" ht="15.75" hidden="1" outlineLevel="1" thickBot="1" x14ac:dyDescent="0.3">
      <c r="A41" s="7"/>
      <c r="B41" s="127"/>
      <c r="C41" s="128"/>
      <c r="D41" s="129"/>
      <c r="E41" s="128"/>
      <c r="F41" s="129"/>
      <c r="G41" s="128"/>
      <c r="H41" s="129"/>
      <c r="I41" s="128"/>
      <c r="J41" s="131"/>
      <c r="K41" s="132"/>
      <c r="L41" s="129"/>
      <c r="M41" s="147" t="s">
        <v>27</v>
      </c>
      <c r="N41" s="148" t="s">
        <v>28</v>
      </c>
      <c r="O41" s="149"/>
      <c r="P41" s="150"/>
      <c r="Q41" s="151">
        <v>0.04</v>
      </c>
      <c r="R41" s="152"/>
      <c r="S41" s="151">
        <v>0.03</v>
      </c>
      <c r="T41" s="152"/>
      <c r="U41" s="151">
        <v>0.02</v>
      </c>
      <c r="V41" s="152"/>
      <c r="W41" s="151">
        <v>0.02</v>
      </c>
      <c r="X41" s="152"/>
      <c r="Y41" s="151">
        <v>0.02</v>
      </c>
      <c r="Z41" s="152"/>
      <c r="AA41" s="151">
        <v>0.02</v>
      </c>
      <c r="AB41" s="152"/>
      <c r="AC41" s="151">
        <v>0.02</v>
      </c>
      <c r="AD41" s="152"/>
      <c r="AE41" s="151">
        <v>0.02</v>
      </c>
      <c r="AF41" s="152"/>
      <c r="AG41" s="151">
        <v>0.02</v>
      </c>
      <c r="AH41" s="152"/>
      <c r="AI41" s="151">
        <v>0.02</v>
      </c>
      <c r="AJ41" s="153"/>
      <c r="AK41" s="7"/>
    </row>
    <row r="42" spans="1:37" hidden="1" outlineLevel="1" x14ac:dyDescent="0.25">
      <c r="A42" s="7"/>
      <c r="B42" s="154"/>
      <c r="C42" s="155"/>
      <c r="D42" s="156"/>
      <c r="E42" s="155"/>
      <c r="F42" s="156"/>
      <c r="G42" s="155"/>
      <c r="H42" s="156"/>
      <c r="I42" s="155"/>
      <c r="J42" s="157"/>
      <c r="K42" s="158"/>
      <c r="L42" s="159"/>
      <c r="M42" s="160"/>
      <c r="N42" s="160"/>
      <c r="O42" s="161"/>
      <c r="P42" s="162"/>
      <c r="Q42" s="163"/>
      <c r="R42" s="162"/>
      <c r="S42" s="163"/>
      <c r="T42" s="162"/>
      <c r="U42" s="163"/>
      <c r="V42" s="162"/>
      <c r="W42" s="163"/>
      <c r="X42" s="162"/>
      <c r="Y42" s="163"/>
      <c r="Z42" s="162"/>
      <c r="AA42" s="163"/>
      <c r="AB42" s="162"/>
      <c r="AC42" s="163"/>
      <c r="AD42" s="162"/>
      <c r="AE42" s="163"/>
      <c r="AF42" s="162"/>
      <c r="AG42" s="163"/>
      <c r="AH42" s="162"/>
      <c r="AI42" s="163"/>
      <c r="AJ42" s="164"/>
      <c r="AK42" s="7"/>
    </row>
    <row r="43" spans="1:37" collapsed="1" x14ac:dyDescent="0.25">
      <c r="A43" s="7"/>
      <c r="B43" s="167" t="s">
        <v>4</v>
      </c>
      <c r="C43" s="168">
        <v>18663.14</v>
      </c>
      <c r="D43" s="169">
        <f>C43/C$49</f>
        <v>1.0210739034540204E-2</v>
      </c>
      <c r="E43" s="168">
        <v>85995.79</v>
      </c>
      <c r="F43" s="169">
        <f>E43/E$49</f>
        <v>3.9328196337723588E-2</v>
      </c>
      <c r="G43" s="168">
        <v>18742.509999999998</v>
      </c>
      <c r="H43" s="169">
        <f>G43/G$49</f>
        <v>8.2231419373736646E-3</v>
      </c>
      <c r="I43" s="168">
        <v>31986</v>
      </c>
      <c r="J43" s="170">
        <f>I43/I$49</f>
        <v>1.3359244905707187E-2</v>
      </c>
      <c r="K43" s="171"/>
      <c r="L43" s="172"/>
      <c r="M43" s="172"/>
      <c r="N43" s="172"/>
      <c r="O43" s="173">
        <f>O45*O$20</f>
        <v>33001.488000000005</v>
      </c>
      <c r="P43" s="174">
        <f>O43/O$49</f>
        <v>1.4489120120621738E-2</v>
      </c>
      <c r="Q43" s="173">
        <f>Q45*Q$20</f>
        <v>33898.659599999999</v>
      </c>
      <c r="R43" s="174">
        <f>Q43/Q$49</f>
        <v>1.4262222792336224E-2</v>
      </c>
      <c r="S43" s="173">
        <f>S45*S$20</f>
        <v>34915.619387999999</v>
      </c>
      <c r="T43" s="174">
        <f>S43/S$49</f>
        <v>1.4038119428018305E-2</v>
      </c>
      <c r="U43" s="173">
        <f>U45*U$20</f>
        <v>35963.087969640001</v>
      </c>
      <c r="V43" s="174">
        <f>U43/U$49</f>
        <v>1.403811942801831E-2</v>
      </c>
      <c r="W43" s="173">
        <f>W45*W$20</f>
        <v>37143.465487109286</v>
      </c>
      <c r="X43" s="174">
        <f>W43/W$49</f>
        <v>1.4038119428018307E-2</v>
      </c>
      <c r="Y43" s="173">
        <f>Y45*Y$20</f>
        <v>38153.24002699108</v>
      </c>
      <c r="Z43" s="174">
        <f>Y43/Y$49</f>
        <v>1.4038119428018312E-2</v>
      </c>
      <c r="AA43" s="173">
        <f>AA45*AA$20</f>
        <v>39297.83722780081</v>
      </c>
      <c r="AB43" s="174">
        <f>AA43/AA$49</f>
        <v>1.4038119428018308E-2</v>
      </c>
      <c r="AC43" s="173">
        <f>AC45*AC$20</f>
        <v>40476.772344634839</v>
      </c>
      <c r="AD43" s="174">
        <f>AC43/AC$49</f>
        <v>1.4038119428018308E-2</v>
      </c>
      <c r="AE43" s="173">
        <f>AE45*AE$20</f>
        <v>41805.297639672448</v>
      </c>
      <c r="AF43" s="174">
        <f>AE43/AE$49</f>
        <v>1.403811942801831E-2</v>
      </c>
      <c r="AG43" s="173">
        <f>AG45*AG$20</f>
        <v>42941.807780423107</v>
      </c>
      <c r="AH43" s="174">
        <f>AG43/AG$49</f>
        <v>1.403811942801831E-2</v>
      </c>
      <c r="AI43" s="173">
        <f>AI45*AI$20</f>
        <v>44230.062013835792</v>
      </c>
      <c r="AJ43" s="175">
        <f>AI43/AI$49</f>
        <v>1.403811942801831E-2</v>
      </c>
      <c r="AK43" s="7"/>
    </row>
    <row r="44" spans="1:37" ht="5.0999999999999996" hidden="1" customHeight="1" outlineLevel="1" x14ac:dyDescent="0.25">
      <c r="A44" s="7"/>
      <c r="B44" s="167"/>
      <c r="C44" s="168"/>
      <c r="D44" s="169"/>
      <c r="E44" s="168"/>
      <c r="F44" s="169"/>
      <c r="G44" s="168"/>
      <c r="H44" s="169"/>
      <c r="I44" s="168"/>
      <c r="J44" s="170"/>
      <c r="K44" s="171"/>
      <c r="L44" s="172"/>
      <c r="M44" s="172"/>
      <c r="N44" s="172"/>
      <c r="O44" s="173"/>
      <c r="P44" s="174"/>
      <c r="Q44" s="176"/>
      <c r="R44" s="174"/>
      <c r="S44" s="176"/>
      <c r="T44" s="174"/>
      <c r="U44" s="176"/>
      <c r="V44" s="174"/>
      <c r="W44" s="176"/>
      <c r="X44" s="174"/>
      <c r="Y44" s="176"/>
      <c r="Z44" s="174"/>
      <c r="AA44" s="176"/>
      <c r="AB44" s="174"/>
      <c r="AC44" s="176"/>
      <c r="AD44" s="174"/>
      <c r="AE44" s="176"/>
      <c r="AF44" s="174"/>
      <c r="AG44" s="176"/>
      <c r="AH44" s="174"/>
      <c r="AI44" s="176"/>
      <c r="AJ44" s="175"/>
      <c r="AK44" s="7"/>
    </row>
    <row r="45" spans="1:37" ht="15.75" hidden="1" outlineLevel="1" thickBot="1" x14ac:dyDescent="0.3">
      <c r="A45" s="7"/>
      <c r="B45" s="127"/>
      <c r="C45" s="128"/>
      <c r="D45" s="129"/>
      <c r="E45" s="128"/>
      <c r="F45" s="129"/>
      <c r="G45" s="128"/>
      <c r="H45" s="129"/>
      <c r="I45" s="130">
        <f>I43/$I$20</f>
        <v>1.6848037924677377</v>
      </c>
      <c r="J45" s="131"/>
      <c r="K45" s="132"/>
      <c r="L45" s="129"/>
      <c r="M45" s="165" t="s">
        <v>25</v>
      </c>
      <c r="N45" s="177"/>
      <c r="O45" s="135">
        <v>1.7</v>
      </c>
      <c r="P45" s="136"/>
      <c r="Q45" s="137">
        <f>O45*(1+IF($M47=$B$104,$N46,Q47))</f>
        <v>1.7509999999999999</v>
      </c>
      <c r="R45" s="138"/>
      <c r="S45" s="137">
        <f>Q45*(1+IF($M47=$B$104,$N46,S47))</f>
        <v>1.8035299999999999</v>
      </c>
      <c r="T45" s="138"/>
      <c r="U45" s="137">
        <f>S45*(1+IF($M47=$B$104,$N46,U47))</f>
        <v>1.8576359</v>
      </c>
      <c r="V45" s="138"/>
      <c r="W45" s="137">
        <f>U45*(1+IF($M47=$B$104,$N46,W47))</f>
        <v>1.9133649770000001</v>
      </c>
      <c r="X45" s="138"/>
      <c r="Y45" s="137">
        <f>W45*(1+IF($M47=$B$104,$N46,Y47))</f>
        <v>1.9707659263100001</v>
      </c>
      <c r="Z45" s="138"/>
      <c r="AA45" s="137">
        <f>Y45*(1+IF($M47=$B$104,$N46,AA47))</f>
        <v>2.0298889040993</v>
      </c>
      <c r="AB45" s="138"/>
      <c r="AC45" s="137">
        <f>AA45*(1+IF($M47=$B$104,$N46,AC47))</f>
        <v>2.0907855712222791</v>
      </c>
      <c r="AD45" s="138"/>
      <c r="AE45" s="137">
        <f>AC45*(1+IF($M47=$B$104,$N46,AE47))</f>
        <v>2.1535091383589475</v>
      </c>
      <c r="AF45" s="138"/>
      <c r="AG45" s="137">
        <f>AE45*(1+IF($M47=$B$104,$N46,AG47))</f>
        <v>2.2181144125097161</v>
      </c>
      <c r="AH45" s="138"/>
      <c r="AI45" s="137">
        <f>AG45*(1+IF($M47=$B$104,$N46,AI47))</f>
        <v>2.2846578448850074</v>
      </c>
      <c r="AJ45" s="139"/>
      <c r="AK45" s="7"/>
    </row>
    <row r="46" spans="1:37" hidden="1" outlineLevel="1" x14ac:dyDescent="0.25">
      <c r="A46" s="7"/>
      <c r="B46" s="127"/>
      <c r="C46" s="128"/>
      <c r="D46" s="129"/>
      <c r="E46" s="128"/>
      <c r="F46" s="129"/>
      <c r="G46" s="128"/>
      <c r="H46" s="129"/>
      <c r="I46" s="128"/>
      <c r="J46" s="131"/>
      <c r="K46" s="132"/>
      <c r="L46" s="129"/>
      <c r="M46" s="140" t="s">
        <v>26</v>
      </c>
      <c r="N46" s="141">
        <v>0.03</v>
      </c>
      <c r="O46" s="142"/>
      <c r="P46" s="143"/>
      <c r="Q46" s="144">
        <f>$N46</f>
        <v>0.03</v>
      </c>
      <c r="R46" s="145"/>
      <c r="S46" s="144">
        <f>$N46</f>
        <v>0.03</v>
      </c>
      <c r="T46" s="145"/>
      <c r="U46" s="144">
        <f>$N46</f>
        <v>0.03</v>
      </c>
      <c r="V46" s="145"/>
      <c r="W46" s="144">
        <f>$N46</f>
        <v>0.03</v>
      </c>
      <c r="X46" s="145"/>
      <c r="Y46" s="144">
        <f>$N46</f>
        <v>0.03</v>
      </c>
      <c r="Z46" s="145"/>
      <c r="AA46" s="144">
        <f>$N46</f>
        <v>0.03</v>
      </c>
      <c r="AB46" s="145"/>
      <c r="AC46" s="144">
        <f>$N46</f>
        <v>0.03</v>
      </c>
      <c r="AD46" s="145"/>
      <c r="AE46" s="144">
        <f>$N46</f>
        <v>0.03</v>
      </c>
      <c r="AF46" s="145"/>
      <c r="AG46" s="144">
        <f>$N46</f>
        <v>0.03</v>
      </c>
      <c r="AH46" s="145"/>
      <c r="AI46" s="144">
        <f>$N46</f>
        <v>0.03</v>
      </c>
      <c r="AJ46" s="146"/>
      <c r="AK46" s="7"/>
    </row>
    <row r="47" spans="1:37" ht="15.75" hidden="1" outlineLevel="1" thickBot="1" x14ac:dyDescent="0.3">
      <c r="A47" s="7"/>
      <c r="B47" s="127"/>
      <c r="C47" s="128"/>
      <c r="D47" s="129"/>
      <c r="E47" s="128"/>
      <c r="F47" s="129"/>
      <c r="G47" s="128"/>
      <c r="H47" s="129"/>
      <c r="I47" s="128"/>
      <c r="J47" s="131"/>
      <c r="K47" s="132"/>
      <c r="L47" s="129"/>
      <c r="M47" s="147" t="s">
        <v>27</v>
      </c>
      <c r="N47" s="148" t="s">
        <v>28</v>
      </c>
      <c r="O47" s="178">
        <v>0.04</v>
      </c>
      <c r="P47" s="152"/>
      <c r="Q47" s="151">
        <v>0.04</v>
      </c>
      <c r="R47" s="152"/>
      <c r="S47" s="151">
        <v>0.03</v>
      </c>
      <c r="T47" s="152"/>
      <c r="U47" s="151">
        <v>0.02</v>
      </c>
      <c r="V47" s="152"/>
      <c r="W47" s="151">
        <v>0.02</v>
      </c>
      <c r="X47" s="152"/>
      <c r="Y47" s="151">
        <v>0.02</v>
      </c>
      <c r="Z47" s="152"/>
      <c r="AA47" s="151">
        <v>0.02</v>
      </c>
      <c r="AB47" s="152"/>
      <c r="AC47" s="151">
        <v>0.02</v>
      </c>
      <c r="AD47" s="152"/>
      <c r="AE47" s="151">
        <v>0.02</v>
      </c>
      <c r="AF47" s="152"/>
      <c r="AG47" s="151">
        <v>0.02</v>
      </c>
      <c r="AH47" s="152"/>
      <c r="AI47" s="151">
        <v>0.02</v>
      </c>
      <c r="AJ47" s="153"/>
      <c r="AK47" s="7"/>
    </row>
    <row r="48" spans="1:37" hidden="1" outlineLevel="1" x14ac:dyDescent="0.25">
      <c r="A48" s="7"/>
      <c r="B48" s="154"/>
      <c r="C48" s="155"/>
      <c r="D48" s="156"/>
      <c r="E48" s="155"/>
      <c r="F48" s="156"/>
      <c r="G48" s="155"/>
      <c r="H48" s="156"/>
      <c r="I48" s="155"/>
      <c r="J48" s="157"/>
      <c r="K48" s="158"/>
      <c r="L48" s="159"/>
      <c r="M48" s="179"/>
      <c r="N48" s="160"/>
      <c r="O48" s="161"/>
      <c r="P48" s="162"/>
      <c r="Q48" s="163"/>
      <c r="R48" s="162"/>
      <c r="S48" s="163"/>
      <c r="T48" s="162"/>
      <c r="U48" s="163"/>
      <c r="V48" s="162"/>
      <c r="W48" s="163"/>
      <c r="X48" s="162"/>
      <c r="Y48" s="163"/>
      <c r="Z48" s="162"/>
      <c r="AA48" s="163"/>
      <c r="AB48" s="162"/>
      <c r="AC48" s="163"/>
      <c r="AD48" s="162"/>
      <c r="AE48" s="163"/>
      <c r="AF48" s="162"/>
      <c r="AG48" s="163"/>
      <c r="AH48" s="162"/>
      <c r="AI48" s="163"/>
      <c r="AJ48" s="164"/>
      <c r="AK48" s="7"/>
    </row>
    <row r="49" spans="1:37" collapsed="1" x14ac:dyDescent="0.25">
      <c r="A49" s="7"/>
      <c r="B49" s="115" t="s">
        <v>5</v>
      </c>
      <c r="C49" s="180">
        <f>SUM(C30:C43)</f>
        <v>1827795.22</v>
      </c>
      <c r="D49" s="181">
        <f>C49/C$49</f>
        <v>1</v>
      </c>
      <c r="E49" s="180">
        <f>SUM(E30:E43)</f>
        <v>2186619.2199999997</v>
      </c>
      <c r="F49" s="181">
        <f>E49/E$49</f>
        <v>1</v>
      </c>
      <c r="G49" s="180">
        <f>SUM(G30:G43)</f>
        <v>2279239.5099999998</v>
      </c>
      <c r="H49" s="181">
        <f>G49/G$49</f>
        <v>1</v>
      </c>
      <c r="I49" s="180">
        <f>SUM(I37,I43,I30:I31)</f>
        <v>2394297</v>
      </c>
      <c r="J49" s="182">
        <f>I49/I$49</f>
        <v>1</v>
      </c>
      <c r="K49" s="183"/>
      <c r="L49" s="120"/>
      <c r="M49" s="120"/>
      <c r="N49" s="120"/>
      <c r="O49" s="121">
        <f>+O30+O31+O37+O43</f>
        <v>2277673.7113960711</v>
      </c>
      <c r="P49" s="184">
        <f>O49/O$49</f>
        <v>1</v>
      </c>
      <c r="Q49" s="121">
        <f>+Q30+Q31+Q37+Q43</f>
        <v>2376814.6167380987</v>
      </c>
      <c r="R49" s="184">
        <f>Q49/Q$49</f>
        <v>1</v>
      </c>
      <c r="S49" s="121">
        <f>+S30+S31+S37+S43</f>
        <v>2487200.6230630046</v>
      </c>
      <c r="T49" s="184">
        <f>S49/S$49</f>
        <v>1</v>
      </c>
      <c r="U49" s="121">
        <f>+U30+U31+U37+U43</f>
        <v>2561816.6417548941</v>
      </c>
      <c r="V49" s="184">
        <f>U49/U$49</f>
        <v>1</v>
      </c>
      <c r="W49" s="121">
        <f>+W30+W31+W37+W43</f>
        <v>2645900.3770103022</v>
      </c>
      <c r="X49" s="184">
        <f>W49/W$49</f>
        <v>1</v>
      </c>
      <c r="Y49" s="121">
        <f>+Y30+Y31+Y37+Y43</f>
        <v>2717831.275237767</v>
      </c>
      <c r="Z49" s="184">
        <f>Y49/Y$49</f>
        <v>1</v>
      </c>
      <c r="AA49" s="121">
        <f>+AA30+AA31+AA37+AA43</f>
        <v>2799366.2134949006</v>
      </c>
      <c r="AB49" s="184">
        <f>AA49/AA$49</f>
        <v>1</v>
      </c>
      <c r="AC49" s="121">
        <f>+AC30+AC31+AC37+AC43</f>
        <v>2883347.199899748</v>
      </c>
      <c r="AD49" s="184">
        <f>AC49/AC$49</f>
        <v>1</v>
      </c>
      <c r="AE49" s="121">
        <f>+AE30+AE31+AE37+AE43</f>
        <v>2977984.1847074162</v>
      </c>
      <c r="AF49" s="184">
        <f>AE49/AE$49</f>
        <v>1</v>
      </c>
      <c r="AG49" s="121">
        <f>+AG30+AG31+AG37+AG43</f>
        <v>3058943.0443736427</v>
      </c>
      <c r="AH49" s="184">
        <f>AG49/AG$49</f>
        <v>1</v>
      </c>
      <c r="AI49" s="121">
        <f>+AI30+AI31+AI37+AI43</f>
        <v>3150711.3357048514</v>
      </c>
      <c r="AJ49" s="185">
        <f>AI49/AI$49</f>
        <v>1</v>
      </c>
      <c r="AK49" s="7"/>
    </row>
    <row r="50" spans="1:37" x14ac:dyDescent="0.25">
      <c r="A50" s="7"/>
      <c r="B50" s="186" t="s">
        <v>29</v>
      </c>
      <c r="C50" s="187"/>
      <c r="D50" s="188"/>
      <c r="E50" s="187"/>
      <c r="F50" s="188"/>
      <c r="G50" s="187"/>
      <c r="H50" s="188"/>
      <c r="I50" s="187"/>
      <c r="J50" s="189"/>
      <c r="K50" s="109"/>
      <c r="L50" s="190" t="s">
        <v>30</v>
      </c>
      <c r="M50" s="190" t="s">
        <v>31</v>
      </c>
      <c r="N50" s="190" t="s">
        <v>32</v>
      </c>
      <c r="O50" s="191"/>
      <c r="P50" s="192"/>
      <c r="Q50" s="191"/>
      <c r="R50" s="192"/>
      <c r="S50" s="191"/>
      <c r="T50" s="192"/>
      <c r="U50" s="191"/>
      <c r="V50" s="192"/>
      <c r="W50" s="191"/>
      <c r="X50" s="192"/>
      <c r="Y50" s="191"/>
      <c r="Z50" s="192"/>
      <c r="AA50" s="191"/>
      <c r="AB50" s="192"/>
      <c r="AC50" s="191"/>
      <c r="AD50" s="192"/>
      <c r="AE50" s="191"/>
      <c r="AF50" s="192"/>
      <c r="AG50" s="191"/>
      <c r="AH50" s="192"/>
      <c r="AI50" s="191"/>
      <c r="AJ50" s="193"/>
      <c r="AK50" s="7"/>
    </row>
    <row r="51" spans="1:37" x14ac:dyDescent="0.25">
      <c r="A51" s="7"/>
      <c r="B51" s="194" t="s">
        <v>1</v>
      </c>
      <c r="C51" s="124">
        <v>300000</v>
      </c>
      <c r="D51" s="117">
        <f>C51/C30</f>
        <v>0.20591299340022087</v>
      </c>
      <c r="E51" s="124">
        <v>312546</v>
      </c>
      <c r="F51" s="117">
        <f>E51/E30</f>
        <v>0.20184364295788837</v>
      </c>
      <c r="G51" s="124">
        <v>330475</v>
      </c>
      <c r="H51" s="117">
        <f>G51/G30</f>
        <v>0.19977234506346653</v>
      </c>
      <c r="I51" s="124">
        <v>375468</v>
      </c>
      <c r="J51" s="118">
        <f>I51/I30</f>
        <v>0.21396333763385958</v>
      </c>
      <c r="K51" s="119"/>
      <c r="L51" s="195">
        <v>0.36</v>
      </c>
      <c r="M51" s="196">
        <f>1-L51</f>
        <v>0.64</v>
      </c>
      <c r="N51" s="195">
        <v>0.03</v>
      </c>
      <c r="O51" s="125">
        <f>I51*$L51*(1+$N51)+(I51*$M51*O30/I30)</f>
        <v>394764.32960095408</v>
      </c>
      <c r="P51" s="122">
        <f>O51/O30</f>
        <v>0.21154219162238327</v>
      </c>
      <c r="Q51" s="125">
        <f>O51*$L51*(1+$N51)+(O51*$M51*Q30/O30)</f>
        <v>410935.42971254198</v>
      </c>
      <c r="R51" s="122">
        <f>Q51/Q30</f>
        <v>0.21029628676933682</v>
      </c>
      <c r="S51" s="125">
        <f>Q51*$L51*(1+$N51)+(Q51*$M51*S30/Q30)</f>
        <v>428523.46610423882</v>
      </c>
      <c r="T51" s="122">
        <f>S51/S30</f>
        <v>0.20885425508863278</v>
      </c>
      <c r="U51" s="125">
        <f>S51*$L51*(1+$N51)+(S51*$M51*U30/S30)</f>
        <v>441379.17008736596</v>
      </c>
      <c r="V51" s="122">
        <f>U51/U30</f>
        <v>0.20885425508863278</v>
      </c>
      <c r="W51" s="125">
        <f>U51*$L51*(1+$N51)+(U51*$M51*W30/U30)</f>
        <v>455417.68806374475</v>
      </c>
      <c r="X51" s="122">
        <f>W51/W30</f>
        <v>0.20864882467379148</v>
      </c>
      <c r="Y51" s="125">
        <f>W51*$L51*(1+$N51)+(W51*$M51*Y30/W30)</f>
        <v>468259.9691428931</v>
      </c>
      <c r="Z51" s="122">
        <f>Y51/Y30</f>
        <v>0.2088546152953876</v>
      </c>
      <c r="AA51" s="125">
        <f>Y51*$L51*(1+$N51)+(Y51*$M51*AA30/Y30)</f>
        <v>482307.76821717981</v>
      </c>
      <c r="AB51" s="122">
        <f>AA51/AA30</f>
        <v>0.20885461529538754</v>
      </c>
      <c r="AC51" s="125">
        <f>AA51*$L51*(1+$N51)+(AA51*$M51*AC30/AA30)</f>
        <v>496777.00126369525</v>
      </c>
      <c r="AD51" s="122">
        <f>AC51/AC30</f>
        <v>0.20885461529538754</v>
      </c>
      <c r="AE51" s="125">
        <f>AC51*$L51*(1+$N51)+(AC51*$M51*AE30/AC30)</f>
        <v>512577.50417621713</v>
      </c>
      <c r="AF51" s="122">
        <f>AE51/AE30</f>
        <v>0.20864918452624456</v>
      </c>
      <c r="AG51" s="125">
        <f>AE51*$L51*(1+$N51)+(AE51*$M51*AG30/AE30)</f>
        <v>527031.62959999288</v>
      </c>
      <c r="AH51" s="122">
        <f>AG51/AG30</f>
        <v>0.20885497550276358</v>
      </c>
      <c r="AI51" s="125">
        <f>AG51*$L51*(1+$N51)+(AG51*$M51*AI30/AG30)</f>
        <v>542842.57848799275</v>
      </c>
      <c r="AJ51" s="123">
        <f>AI51/AI30</f>
        <v>0.20885497550276363</v>
      </c>
      <c r="AK51" s="7"/>
    </row>
    <row r="52" spans="1:37" x14ac:dyDescent="0.25">
      <c r="A52" s="7"/>
      <c r="B52" s="194" t="s">
        <v>2</v>
      </c>
      <c r="C52" s="124">
        <f>87583.22+80658.33+19298.39</f>
        <v>187539.94</v>
      </c>
      <c r="D52" s="117">
        <f>C52/C31</f>
        <v>0.715932324255527</v>
      </c>
      <c r="E52" s="124">
        <f>170738.06+156942.96+36310.17</f>
        <v>363991.19</v>
      </c>
      <c r="F52" s="117">
        <f>E52/E31</f>
        <v>0.78682861547907035</v>
      </c>
      <c r="G52" s="124">
        <v>372541</v>
      </c>
      <c r="H52" s="117">
        <f>G52/G31</f>
        <v>0.72678589195590215</v>
      </c>
      <c r="I52" s="124">
        <f>110348+51754+187390</f>
        <v>349492</v>
      </c>
      <c r="J52" s="118">
        <f>I52/I31</f>
        <v>0.68195290807376574</v>
      </c>
      <c r="K52" s="119"/>
      <c r="L52" s="195">
        <v>0.28999999999999998</v>
      </c>
      <c r="M52" s="196">
        <f t="shared" ref="M52:M53" si="1">1-L52</f>
        <v>0.71</v>
      </c>
      <c r="N52" s="195">
        <v>0.03</v>
      </c>
      <c r="O52" s="125">
        <f t="shared" ref="O52" si="2">I52*$L52*(1+$N52)+(I52*$M52*O31/I31)</f>
        <v>240683.68277280085</v>
      </c>
      <c r="P52" s="122">
        <f t="shared" ref="P52" si="3">O52/O31</f>
        <v>0.85505498860465468</v>
      </c>
      <c r="Q52" s="125">
        <f t="shared" ref="Q52" si="4">O52*$L52*(1+$N52)+(O52*$M52*Q31/O31)</f>
        <v>247423.28621442273</v>
      </c>
      <c r="R52" s="122">
        <f t="shared" ref="R52" si="5">Q52/Q31</f>
        <v>0.85573434736272413</v>
      </c>
      <c r="S52" s="125">
        <f t="shared" ref="S52" si="6">Q52*$L52*(1+$N52)+(Q52*$M52*S31/Q31)</f>
        <v>254845.98480085534</v>
      </c>
      <c r="T52" s="122">
        <f t="shared" ref="T52" si="7">S52/S31</f>
        <v>0.85573434736272391</v>
      </c>
      <c r="U52" s="125">
        <f t="shared" ref="U52" si="8">S52*$L52*(1+$N52)+(S52*$M52*U31/S31)</f>
        <v>262491.36434488103</v>
      </c>
      <c r="V52" s="122">
        <f t="shared" ref="V52" si="9">U52/U31</f>
        <v>0.85573434736272391</v>
      </c>
      <c r="W52" s="125">
        <f t="shared" ref="W52" si="10">U52*$L52*(1+$N52)+(U52*$M52*W31/U31)</f>
        <v>270892.02290466696</v>
      </c>
      <c r="X52" s="122">
        <f t="shared" ref="X52" si="11">W52/W31</f>
        <v>0.85505630648639819</v>
      </c>
      <c r="Y52" s="125">
        <f t="shared" ref="Y52" si="12">W52*$L52*(1+$N52)+(W52*$M52*Y31/W31)</f>
        <v>278477.51764549501</v>
      </c>
      <c r="Z52" s="122">
        <f t="shared" ref="Z52" si="13">Y52/Y31</f>
        <v>0.85573566629155184</v>
      </c>
      <c r="AA52" s="125">
        <f t="shared" ref="AA52" si="14">Y52*$L52*(1+$N52)+(Y52*$M52*AA31/Y31)</f>
        <v>286831.84317485982</v>
      </c>
      <c r="AB52" s="122">
        <f t="shared" ref="AB52" si="15">AA52/AA31</f>
        <v>0.85573566629155173</v>
      </c>
      <c r="AC52" s="125">
        <f t="shared" ref="AC52" si="16">AA52*$L52*(1+$N52)+(AA52*$M52*AC31/AA31)</f>
        <v>295436.79847010563</v>
      </c>
      <c r="AD52" s="122">
        <f t="shared" ref="AD52" si="17">AC52/AC31</f>
        <v>0.85573566629155173</v>
      </c>
      <c r="AE52" s="125">
        <f t="shared" ref="AE52" si="18">AC52*$L52*(1+$N52)+(AC52*$M52*AE31/AC31)</f>
        <v>304891.8282618011</v>
      </c>
      <c r="AF52" s="122">
        <f t="shared" ref="AF52" si="19">AE52/AE31</f>
        <v>0.85505762437017319</v>
      </c>
      <c r="AG52" s="125">
        <f t="shared" ref="AG52" si="20">AE52*$L52*(1+$N52)+(AE52*$M52*AG31/AE31)</f>
        <v>313429.38257957902</v>
      </c>
      <c r="AH52" s="122">
        <f t="shared" ref="AH52" si="21">AG52/AG31</f>
        <v>0.85573698522241248</v>
      </c>
      <c r="AI52" s="125">
        <f t="shared" ref="AI52" si="22">AG52*$L52*(1+$N52)+(AG52*$M52*AI31/AG31)</f>
        <v>322832.26405696641</v>
      </c>
      <c r="AJ52" s="123">
        <f t="shared" ref="AJ52" si="23">AI52/AI31</f>
        <v>0.85573698522241248</v>
      </c>
      <c r="AK52" s="7"/>
    </row>
    <row r="53" spans="1:37" x14ac:dyDescent="0.25">
      <c r="A53" s="7"/>
      <c r="B53" s="197" t="s">
        <v>3</v>
      </c>
      <c r="C53" s="198">
        <v>40000</v>
      </c>
      <c r="D53" s="117">
        <f>C53/C37</f>
        <v>0.44319365346688233</v>
      </c>
      <c r="E53" s="198">
        <v>41254</v>
      </c>
      <c r="F53" s="117">
        <f>E53/E37</f>
        <v>0.4606194591456198</v>
      </c>
      <c r="G53" s="198">
        <v>46258</v>
      </c>
      <c r="H53" s="117">
        <f>G53/G37</f>
        <v>0.49393499337974628</v>
      </c>
      <c r="I53" s="198">
        <v>45000</v>
      </c>
      <c r="J53" s="118">
        <f>I53/I37</f>
        <v>0.47368421052631576</v>
      </c>
      <c r="K53" s="119"/>
      <c r="L53" s="199">
        <v>0.25</v>
      </c>
      <c r="M53" s="200">
        <f t="shared" si="1"/>
        <v>0.75</v>
      </c>
      <c r="N53" s="195">
        <v>0.03</v>
      </c>
      <c r="O53" s="201">
        <f>I53*$L53*(1+$N53)+(I53*$M53*O37/I37)</f>
        <v>46070.478947368429</v>
      </c>
      <c r="P53" s="202">
        <f>O53/O37</f>
        <v>0.47464413853415532</v>
      </c>
      <c r="Q53" s="203">
        <f>O53*$L53*(1+$N53)+(K53*$M53*Q37/O37)</f>
        <v>11863.148328947371</v>
      </c>
      <c r="R53" s="202">
        <f>Q53/Q37</f>
        <v>0.11898613335856222</v>
      </c>
      <c r="S53" s="203">
        <f>Q53*$L53*(1+$N53)+(M53*$M53*S37/Q37)</f>
        <v>3055.3400697039478</v>
      </c>
      <c r="T53" s="202">
        <f>S53/S37</f>
        <v>2.9752175155637311E-2</v>
      </c>
      <c r="U53" s="203">
        <f>S53*$L53*(1+$N53)+(S53*$M53*U37/S37)</f>
        <v>3147.000271795067</v>
      </c>
      <c r="V53" s="202">
        <f>U53/U37</f>
        <v>2.9752175155637314E-2</v>
      </c>
      <c r="W53" s="203">
        <f>U53*$L53*(1+$N53)+(U53*$M53*W37/U37)</f>
        <v>3248.0707120310058</v>
      </c>
      <c r="X53" s="202">
        <f>W53/W37</f>
        <v>2.9731852631623902E-2</v>
      </c>
      <c r="Y53" s="203">
        <f>W53*$L53*(1+$N53)+(W53*$M53*Y37/W37)</f>
        <v>3338.6572743071165</v>
      </c>
      <c r="Z53" s="202">
        <f>Y53/Y37</f>
        <v>2.9752216914248304E-2</v>
      </c>
      <c r="AA53" s="203">
        <f>Y53*$L53*(1+$N53)+(Y53*$M53*AA37/Y37)</f>
        <v>3438.81699253633</v>
      </c>
      <c r="AB53" s="202">
        <f>AA53/AA37</f>
        <v>2.9752216914248304E-2</v>
      </c>
      <c r="AC53" s="203">
        <f>AA53*$L53*(1+$N53)+(AA53*$M53*AC37/AA37)</f>
        <v>3541.9815023124202</v>
      </c>
      <c r="AD53" s="202">
        <f>AC53/AC37</f>
        <v>2.9752216914248304E-2</v>
      </c>
      <c r="AE53" s="203">
        <f>AC53*$L53*(1+$N53)+(AC53*$M53*AE37/AC37)</f>
        <v>3655.7373328901117</v>
      </c>
      <c r="AF53" s="202">
        <f>AE53/AE37</f>
        <v>2.9731894361711246E-2</v>
      </c>
      <c r="AG53" s="203">
        <f>AE53*$L53*(1+$N53)+(AE53*$M53*AG37/AE37)</f>
        <v>3757.6934498996084</v>
      </c>
      <c r="AH53" s="202">
        <f>AG53/AG37</f>
        <v>2.9752258672917899E-2</v>
      </c>
      <c r="AI53" s="203">
        <f>AG53*$L53*(1+$N53)+(AG53*$M53*AI37/AG37)</f>
        <v>3870.4242533965962</v>
      </c>
      <c r="AJ53" s="204">
        <f>AI53/AI37</f>
        <v>2.9752258672917899E-2</v>
      </c>
      <c r="AK53" s="7"/>
    </row>
    <row r="54" spans="1:37" x14ac:dyDescent="0.25">
      <c r="A54" s="7"/>
      <c r="B54" s="205" t="s">
        <v>33</v>
      </c>
      <c r="C54" s="124">
        <f>SUM(C51:C53)</f>
        <v>527539.93999999994</v>
      </c>
      <c r="D54" s="117">
        <f>C54/C$49</f>
        <v>0.28862092111172055</v>
      </c>
      <c r="E54" s="124">
        <f>SUM(E51:E53)</f>
        <v>717791.19</v>
      </c>
      <c r="F54" s="117">
        <f>E54/E$49</f>
        <v>0.32826528891482076</v>
      </c>
      <c r="G54" s="124">
        <f>SUM(G51:G53)</f>
        <v>749274</v>
      </c>
      <c r="H54" s="117">
        <f>G54/G$49</f>
        <v>0.32873859755089979</v>
      </c>
      <c r="I54" s="124">
        <f>SUM(I51:I53)</f>
        <v>769960</v>
      </c>
      <c r="J54" s="118">
        <f>I54/I$49</f>
        <v>0.3215808230975522</v>
      </c>
      <c r="K54" s="119"/>
      <c r="L54" s="120"/>
      <c r="M54" s="120"/>
      <c r="N54" s="120"/>
      <c r="O54" s="125">
        <f>SUM(O51:O53)</f>
        <v>681518.49132112344</v>
      </c>
      <c r="P54" s="122">
        <f>O54/O$49</f>
        <v>0.29921691061859573</v>
      </c>
      <c r="Q54" s="125">
        <f>SUM(Q51:Q53)</f>
        <v>670221.86425591214</v>
      </c>
      <c r="R54" s="122">
        <f>Q54/Q$49</f>
        <v>0.28198323063820335</v>
      </c>
      <c r="S54" s="125">
        <f>SUM(S51:S53)</f>
        <v>686424.79097479815</v>
      </c>
      <c r="T54" s="122">
        <f>S54/S$49</f>
        <v>0.27598287995339166</v>
      </c>
      <c r="U54" s="125">
        <f>SUM(U51:U53)</f>
        <v>707017.53470404213</v>
      </c>
      <c r="V54" s="122">
        <f>U54/U$49</f>
        <v>0.27598287995339177</v>
      </c>
      <c r="W54" s="125">
        <f>SUM(W51:W53)</f>
        <v>729557.78168044274</v>
      </c>
      <c r="X54" s="122">
        <f>W54/W$49</f>
        <v>0.27573138732638008</v>
      </c>
      <c r="Y54" s="125">
        <f>SUM(Y51:Y53)</f>
        <v>750076.14406269521</v>
      </c>
      <c r="Z54" s="122">
        <f>Y54/Y$49</f>
        <v>0.2759833367496573</v>
      </c>
      <c r="AA54" s="125">
        <f>SUM(AA51:AA53)</f>
        <v>772578.42838457588</v>
      </c>
      <c r="AB54" s="122">
        <f>AA54/AA$49</f>
        <v>0.27598333674965719</v>
      </c>
      <c r="AC54" s="125">
        <f>SUM(AC51:AC53)</f>
        <v>795755.78123611328</v>
      </c>
      <c r="AD54" s="122">
        <f>AC54/AC$49</f>
        <v>0.27598333674965719</v>
      </c>
      <c r="AE54" s="125">
        <f>SUM(AE51:AE53)</f>
        <v>821125.06977090833</v>
      </c>
      <c r="AF54" s="122">
        <f>AE54/AE$49</f>
        <v>0.27573184370406018</v>
      </c>
      <c r="AG54" s="125">
        <f>SUM(AG51:AG53)</f>
        <v>844218.70562947146</v>
      </c>
      <c r="AH54" s="122">
        <f>AG54/AG$49</f>
        <v>0.27598379354668107</v>
      </c>
      <c r="AI54" s="125">
        <f>SUM(AI51:AI53)</f>
        <v>869545.26679835573</v>
      </c>
      <c r="AJ54" s="123">
        <f>AI54/AI$49</f>
        <v>0.27598379354668118</v>
      </c>
      <c r="AK54" s="7"/>
    </row>
    <row r="55" spans="1:37" x14ac:dyDescent="0.25">
      <c r="A55" s="7"/>
      <c r="B55" s="206" t="s">
        <v>34</v>
      </c>
      <c r="C55" s="207">
        <f>C49-C54</f>
        <v>1300255.28</v>
      </c>
      <c r="D55" s="208">
        <f>C55/C$49</f>
        <v>0.71137907888827945</v>
      </c>
      <c r="E55" s="207">
        <f>E49-E54</f>
        <v>1468828.0299999998</v>
      </c>
      <c r="F55" s="208">
        <f>E55/E$49</f>
        <v>0.67173471108517924</v>
      </c>
      <c r="G55" s="207">
        <f>+G49-G54</f>
        <v>1529965.5099999998</v>
      </c>
      <c r="H55" s="208">
        <f>G55/G$49</f>
        <v>0.67126140244910015</v>
      </c>
      <c r="I55" s="207">
        <f>+I49-I54</f>
        <v>1624337</v>
      </c>
      <c r="J55" s="209">
        <f>I55/I$49</f>
        <v>0.6784191769024478</v>
      </c>
      <c r="K55" s="210"/>
      <c r="L55" s="211"/>
      <c r="M55" s="211"/>
      <c r="N55" s="211"/>
      <c r="O55" s="212">
        <f>O49-O54</f>
        <v>1596155.2200749477</v>
      </c>
      <c r="P55" s="213">
        <f>O55/O$49</f>
        <v>0.70078308938140421</v>
      </c>
      <c r="Q55" s="212">
        <f>Q49-Q54</f>
        <v>1706592.7524821865</v>
      </c>
      <c r="R55" s="213">
        <f>Q55/Q$49</f>
        <v>0.7180167693617967</v>
      </c>
      <c r="S55" s="212">
        <f>+S49-S54</f>
        <v>1800775.8320882064</v>
      </c>
      <c r="T55" s="213">
        <f>S55/S$49</f>
        <v>0.72401712004660834</v>
      </c>
      <c r="U55" s="212">
        <f>+U49-U54</f>
        <v>1854799.1070508519</v>
      </c>
      <c r="V55" s="213">
        <f>U55/U$49</f>
        <v>0.72401712004660823</v>
      </c>
      <c r="W55" s="212">
        <f>+W49-W54</f>
        <v>1916342.5953298593</v>
      </c>
      <c r="X55" s="213">
        <f>W55/W$49</f>
        <v>0.72426861267361986</v>
      </c>
      <c r="Y55" s="212">
        <f>+Y49-Y54</f>
        <v>1967755.1311750719</v>
      </c>
      <c r="Z55" s="213">
        <f>Y55/Y$49</f>
        <v>0.72401666325034275</v>
      </c>
      <c r="AA55" s="212">
        <f>+AA49-AA54</f>
        <v>2026787.7851103246</v>
      </c>
      <c r="AB55" s="213">
        <f>AA55/AA$49</f>
        <v>0.72401666325034275</v>
      </c>
      <c r="AC55" s="212">
        <f>+AC49-AC54</f>
        <v>2087591.4186636347</v>
      </c>
      <c r="AD55" s="213">
        <f>AC55/AC$49</f>
        <v>0.72401666325034275</v>
      </c>
      <c r="AE55" s="212">
        <f>+AE49-AE54</f>
        <v>2156859.1149365078</v>
      </c>
      <c r="AF55" s="213">
        <f>AE55/AE$49</f>
        <v>0.72426815629593977</v>
      </c>
      <c r="AG55" s="212">
        <f>+AG49-AG54</f>
        <v>2214724.338744171</v>
      </c>
      <c r="AH55" s="213">
        <f>AG55/AG$49</f>
        <v>0.72401620645331888</v>
      </c>
      <c r="AI55" s="212">
        <f>+AI49-AI54</f>
        <v>2281166.0689064958</v>
      </c>
      <c r="AJ55" s="214">
        <f>AI55/AI$49</f>
        <v>0.72401620645331888</v>
      </c>
      <c r="AK55" s="7"/>
    </row>
    <row r="56" spans="1:37" x14ac:dyDescent="0.25">
      <c r="A56" s="7"/>
      <c r="B56" s="102" t="s">
        <v>35</v>
      </c>
      <c r="C56" s="215"/>
      <c r="D56" s="106"/>
      <c r="E56" s="215"/>
      <c r="F56" s="106"/>
      <c r="G56" s="215"/>
      <c r="H56" s="106"/>
      <c r="I56" s="215"/>
      <c r="J56" s="108"/>
      <c r="K56" s="109"/>
      <c r="L56" s="110"/>
      <c r="M56" s="110"/>
      <c r="N56" s="110"/>
      <c r="O56" s="216"/>
      <c r="P56" s="112"/>
      <c r="Q56" s="217"/>
      <c r="R56" s="112"/>
      <c r="S56" s="217"/>
      <c r="T56" s="112"/>
      <c r="U56" s="217"/>
      <c r="V56" s="112"/>
      <c r="W56" s="217"/>
      <c r="X56" s="112"/>
      <c r="Y56" s="217"/>
      <c r="Z56" s="112"/>
      <c r="AA56" s="217"/>
      <c r="AB56" s="112"/>
      <c r="AC56" s="217"/>
      <c r="AD56" s="112"/>
      <c r="AE56" s="217"/>
      <c r="AF56" s="112"/>
      <c r="AG56" s="217"/>
      <c r="AH56" s="112"/>
      <c r="AI56" s="217"/>
      <c r="AJ56" s="114"/>
      <c r="AK56" s="7"/>
    </row>
    <row r="57" spans="1:37" x14ac:dyDescent="0.25">
      <c r="A57" s="7"/>
      <c r="B57" s="115" t="s">
        <v>36</v>
      </c>
      <c r="C57" s="124">
        <f>31501.07+160979.84</f>
        <v>192480.91</v>
      </c>
      <c r="D57" s="117">
        <f>C57/C$49</f>
        <v>0.10530769962293697</v>
      </c>
      <c r="E57" s="124">
        <f>62122+171670.67</f>
        <v>233792.67</v>
      </c>
      <c r="F57" s="117">
        <f>E57/E$49</f>
        <v>0.10691969953506585</v>
      </c>
      <c r="G57" s="124">
        <v>240159</v>
      </c>
      <c r="H57" s="117">
        <f>G57/G$49</f>
        <v>0.10536804006174851</v>
      </c>
      <c r="I57" s="124">
        <v>240136</v>
      </c>
      <c r="J57" s="118">
        <f>I57/I$49</f>
        <v>0.10029499264293444</v>
      </c>
      <c r="K57" s="119"/>
      <c r="L57" s="120"/>
      <c r="M57" s="120"/>
      <c r="N57" s="120"/>
      <c r="O57" s="125">
        <f>O59*O$20</f>
        <v>245569.89600000004</v>
      </c>
      <c r="P57" s="122">
        <f t="shared" ref="P57:P90" si="24">O57/O$49</f>
        <v>0.10781609972109706</v>
      </c>
      <c r="Q57" s="125">
        <f>Q59*Q$20</f>
        <v>249796.91880000004</v>
      </c>
      <c r="R57" s="122">
        <f t="shared" ref="R57:R90" si="25">Q57/Q$49</f>
        <v>0.10509735047944851</v>
      </c>
      <c r="S57" s="125">
        <f>S59*S$20</f>
        <v>254792.85717600005</v>
      </c>
      <c r="T57" s="122">
        <f t="shared" ref="T57:T90" si="26">S57/S$49</f>
        <v>0.10244161842570661</v>
      </c>
      <c r="U57" s="125">
        <f>U59*U$20</f>
        <v>259888.71431952005</v>
      </c>
      <c r="V57" s="122">
        <f t="shared" ref="V57:V90" si="27">U57/U$49</f>
        <v>0.10144703960603958</v>
      </c>
      <c r="W57" s="125">
        <f>W59*W$20</f>
        <v>265812.75295825541</v>
      </c>
      <c r="X57" s="122">
        <f t="shared" ref="X57" si="28">W57/W$49</f>
        <v>0.1004621168914178</v>
      </c>
      <c r="Y57" s="125">
        <f>Y59*Y$20</f>
        <v>270388.21837802866</v>
      </c>
      <c r="Z57" s="122">
        <f t="shared" ref="Z57" si="29">Y57/Y$49</f>
        <v>9.9486756533248732E-2</v>
      </c>
      <c r="AA57" s="125">
        <f>AA59*AA$20</f>
        <v>275795.98274558928</v>
      </c>
      <c r="AB57" s="122">
        <f t="shared" ref="AB57" si="30">AA57/AA$49</f>
        <v>9.8520865693120102E-2</v>
      </c>
      <c r="AC57" s="125">
        <f>AC59*AC$20</f>
        <v>281311.90240050107</v>
      </c>
      <c r="AD57" s="122">
        <f t="shared" ref="AD57" si="31">AC57/AC$49</f>
        <v>9.7564352433963594E-2</v>
      </c>
      <c r="AE57" s="125">
        <f>AE59*AE$20</f>
        <v>287724.27234015084</v>
      </c>
      <c r="AF57" s="122">
        <f t="shared" ref="AF57" si="32">AE57/AE$49</f>
        <v>9.661712571130375E-2</v>
      </c>
      <c r="AG57" s="125">
        <f>AG59*AG$20</f>
        <v>292676.90325748135</v>
      </c>
      <c r="AH57" s="122">
        <f t="shared" ref="AH57" si="33">AG57/AG$49</f>
        <v>9.5679095364592071E-2</v>
      </c>
      <c r="AI57" s="125">
        <f>AI59*AI$20</f>
        <v>298530.44132263097</v>
      </c>
      <c r="AJ57" s="123">
        <f t="shared" ref="AJ57" si="34">AI57/AI$49</f>
        <v>9.4750172108625172E-2</v>
      </c>
      <c r="AK57" s="7"/>
    </row>
    <row r="58" spans="1:37" ht="5.0999999999999996" hidden="1" customHeight="1" outlineLevel="1" x14ac:dyDescent="0.25">
      <c r="A58" s="7"/>
      <c r="B58" s="115"/>
      <c r="C58" s="124"/>
      <c r="D58" s="117"/>
      <c r="E58" s="124"/>
      <c r="F58" s="117"/>
      <c r="G58" s="124"/>
      <c r="H58" s="117"/>
      <c r="I58" s="124"/>
      <c r="J58" s="118"/>
      <c r="K58" s="119"/>
      <c r="L58" s="120"/>
      <c r="M58" s="120"/>
      <c r="N58" s="120"/>
      <c r="O58" s="125"/>
      <c r="P58" s="122"/>
      <c r="Q58" s="126"/>
      <c r="R58" s="122"/>
      <c r="S58" s="126"/>
      <c r="T58" s="122"/>
      <c r="U58" s="126"/>
      <c r="V58" s="122"/>
      <c r="W58" s="126"/>
      <c r="X58" s="122"/>
      <c r="Y58" s="126"/>
      <c r="Z58" s="122"/>
      <c r="AA58" s="126"/>
      <c r="AB58" s="122"/>
      <c r="AC58" s="126"/>
      <c r="AD58" s="122"/>
      <c r="AE58" s="126"/>
      <c r="AF58" s="122"/>
      <c r="AG58" s="126"/>
      <c r="AH58" s="122"/>
      <c r="AI58" s="126"/>
      <c r="AJ58" s="123"/>
      <c r="AK58" s="7"/>
    </row>
    <row r="59" spans="1:37" ht="15.75" hidden="1" outlineLevel="1" thickBot="1" x14ac:dyDescent="0.3">
      <c r="A59" s="7"/>
      <c r="B59" s="115"/>
      <c r="C59" s="128"/>
      <c r="D59" s="129"/>
      <c r="E59" s="128"/>
      <c r="F59" s="129"/>
      <c r="G59" s="128"/>
      <c r="H59" s="129"/>
      <c r="I59" s="130">
        <f>I57/$I$20</f>
        <v>12.648722675796682</v>
      </c>
      <c r="J59" s="131"/>
      <c r="K59" s="132"/>
      <c r="L59" s="129"/>
      <c r="M59" s="165" t="s">
        <v>25</v>
      </c>
      <c r="N59" s="166"/>
      <c r="O59" s="135">
        <v>12.65</v>
      </c>
      <c r="P59" s="136"/>
      <c r="Q59" s="137">
        <f>O59*(1+IF($M61=$B$104,$N60,Q61))</f>
        <v>12.903</v>
      </c>
      <c r="R59" s="138"/>
      <c r="S59" s="137">
        <f>Q59*(1+IF($M61=$B$104,$N60,S61))</f>
        <v>13.161060000000001</v>
      </c>
      <c r="T59" s="138"/>
      <c r="U59" s="137">
        <f>S59*(1+IF($M61=$B$104,$N60,U61))</f>
        <v>13.424281200000001</v>
      </c>
      <c r="V59" s="138"/>
      <c r="W59" s="137">
        <f>U59*(1+IF($M61=$B$104,$N60,W61))</f>
        <v>13.692766824000001</v>
      </c>
      <c r="X59" s="138"/>
      <c r="Y59" s="137">
        <f>W59*(1+IF($M61=$B$104,$N60,Y61))</f>
        <v>13.966622160480002</v>
      </c>
      <c r="Z59" s="138"/>
      <c r="AA59" s="137">
        <f>Y59*(1+IF($M61=$B$104,$N60,AA61))</f>
        <v>14.245954603689603</v>
      </c>
      <c r="AB59" s="138"/>
      <c r="AC59" s="137">
        <f>AA59*(1+IF($M61=$B$104,$N60,AC61))</f>
        <v>14.530873695763395</v>
      </c>
      <c r="AD59" s="138"/>
      <c r="AE59" s="137">
        <f>AC59*(1+IF($M61=$B$104,$N60,AE61))</f>
        <v>14.821491169678664</v>
      </c>
      <c r="AF59" s="138"/>
      <c r="AG59" s="137">
        <f>AE59*(1+IF($M61=$B$104,$N60,AG61))</f>
        <v>15.117920993072238</v>
      </c>
      <c r="AH59" s="138"/>
      <c r="AI59" s="137">
        <f>AG59*(1+IF($M61=$B$104,$N60,AI61))</f>
        <v>15.420279412933683</v>
      </c>
      <c r="AJ59" s="139"/>
      <c r="AK59" s="7"/>
    </row>
    <row r="60" spans="1:37" hidden="1" outlineLevel="1" x14ac:dyDescent="0.25">
      <c r="A60" s="7"/>
      <c r="B60" s="115"/>
      <c r="C60" s="128"/>
      <c r="D60" s="129"/>
      <c r="E60" s="128"/>
      <c r="F60" s="129"/>
      <c r="G60" s="128"/>
      <c r="H60" s="129"/>
      <c r="I60" s="128"/>
      <c r="J60" s="131"/>
      <c r="K60" s="132"/>
      <c r="L60" s="129"/>
      <c r="M60" s="140" t="s">
        <v>26</v>
      </c>
      <c r="N60" s="141">
        <v>0.03</v>
      </c>
      <c r="O60" s="218">
        <f>$N60</f>
        <v>0.03</v>
      </c>
      <c r="P60" s="145"/>
      <c r="Q60" s="144">
        <f>$N60</f>
        <v>0.03</v>
      </c>
      <c r="R60" s="145"/>
      <c r="S60" s="144">
        <f>$N60</f>
        <v>0.03</v>
      </c>
      <c r="T60" s="145"/>
      <c r="U60" s="144">
        <f>$N60</f>
        <v>0.03</v>
      </c>
      <c r="V60" s="145"/>
      <c r="W60" s="144">
        <f>$N60</f>
        <v>0.03</v>
      </c>
      <c r="X60" s="145"/>
      <c r="Y60" s="144">
        <f>$N60</f>
        <v>0.03</v>
      </c>
      <c r="Z60" s="145"/>
      <c r="AA60" s="144">
        <f>$N60</f>
        <v>0.03</v>
      </c>
      <c r="AB60" s="145"/>
      <c r="AC60" s="144">
        <f>$N60</f>
        <v>0.03</v>
      </c>
      <c r="AD60" s="145"/>
      <c r="AE60" s="144">
        <f>$N60</f>
        <v>0.03</v>
      </c>
      <c r="AF60" s="145"/>
      <c r="AG60" s="144">
        <f>$N60</f>
        <v>0.03</v>
      </c>
      <c r="AH60" s="145"/>
      <c r="AI60" s="144">
        <f>$N60</f>
        <v>0.03</v>
      </c>
      <c r="AJ60" s="146"/>
      <c r="AK60" s="7"/>
    </row>
    <row r="61" spans="1:37" ht="15.75" hidden="1" outlineLevel="1" thickBot="1" x14ac:dyDescent="0.3">
      <c r="A61" s="7"/>
      <c r="B61" s="219"/>
      <c r="C61" s="129"/>
      <c r="D61" s="129"/>
      <c r="E61" s="128"/>
      <c r="F61" s="129"/>
      <c r="G61" s="128"/>
      <c r="H61" s="129"/>
      <c r="I61" s="128"/>
      <c r="J61" s="131"/>
      <c r="K61" s="132"/>
      <c r="L61" s="129"/>
      <c r="M61" s="147" t="s">
        <v>37</v>
      </c>
      <c r="N61" s="148" t="s">
        <v>28</v>
      </c>
      <c r="O61" s="178">
        <v>0.02</v>
      </c>
      <c r="P61" s="152"/>
      <c r="Q61" s="151">
        <v>0.02</v>
      </c>
      <c r="R61" s="152"/>
      <c r="S61" s="151">
        <v>0.02</v>
      </c>
      <c r="T61" s="152"/>
      <c r="U61" s="151">
        <v>0.02</v>
      </c>
      <c r="V61" s="152"/>
      <c r="W61" s="151">
        <v>0.02</v>
      </c>
      <c r="X61" s="152"/>
      <c r="Y61" s="151">
        <v>0.02</v>
      </c>
      <c r="Z61" s="152"/>
      <c r="AA61" s="151">
        <v>0.02</v>
      </c>
      <c r="AB61" s="152"/>
      <c r="AC61" s="151">
        <v>0.02</v>
      </c>
      <c r="AD61" s="152"/>
      <c r="AE61" s="151">
        <v>0.02</v>
      </c>
      <c r="AF61" s="152"/>
      <c r="AG61" s="151">
        <v>0.02</v>
      </c>
      <c r="AH61" s="152"/>
      <c r="AI61" s="151">
        <v>0.02</v>
      </c>
      <c r="AJ61" s="153"/>
      <c r="AK61" s="7"/>
    </row>
    <row r="62" spans="1:37" hidden="1" outlineLevel="1" x14ac:dyDescent="0.25">
      <c r="A62" s="7"/>
      <c r="B62" s="154"/>
      <c r="C62" s="155"/>
      <c r="D62" s="156"/>
      <c r="E62" s="155"/>
      <c r="F62" s="156"/>
      <c r="G62" s="155"/>
      <c r="H62" s="156"/>
      <c r="I62" s="155"/>
      <c r="J62" s="157"/>
      <c r="K62" s="158"/>
      <c r="L62" s="159"/>
      <c r="M62" s="160"/>
      <c r="N62" s="160"/>
      <c r="O62" s="161"/>
      <c r="P62" s="162"/>
      <c r="Q62" s="163"/>
      <c r="R62" s="162"/>
      <c r="S62" s="163"/>
      <c r="T62" s="162"/>
      <c r="U62" s="163"/>
      <c r="V62" s="162"/>
      <c r="W62" s="163"/>
      <c r="X62" s="162"/>
      <c r="Y62" s="163"/>
      <c r="Z62" s="162"/>
      <c r="AA62" s="163"/>
      <c r="AB62" s="162"/>
      <c r="AC62" s="163"/>
      <c r="AD62" s="162"/>
      <c r="AE62" s="163"/>
      <c r="AF62" s="162"/>
      <c r="AG62" s="163"/>
      <c r="AH62" s="162"/>
      <c r="AI62" s="163"/>
      <c r="AJ62" s="164"/>
      <c r="AK62" s="7"/>
    </row>
    <row r="63" spans="1:37" collapsed="1" x14ac:dyDescent="0.25">
      <c r="A63" s="7"/>
      <c r="B63" s="115" t="s">
        <v>38</v>
      </c>
      <c r="C63" s="124">
        <f>C49*0.02</f>
        <v>36555.904399999999</v>
      </c>
      <c r="D63" s="117">
        <f>C63/C$49</f>
        <v>0.02</v>
      </c>
      <c r="E63" s="124">
        <v>43569</v>
      </c>
      <c r="F63" s="117">
        <f>E63/E$49</f>
        <v>1.9925279903100827E-2</v>
      </c>
      <c r="G63" s="124">
        <v>44587</v>
      </c>
      <c r="H63" s="117">
        <f>G63/G$49</f>
        <v>1.9562226700782316E-2</v>
      </c>
      <c r="I63" s="124">
        <v>46587</v>
      </c>
      <c r="J63" s="118">
        <f>I63/I$49</f>
        <v>1.945748585075285E-2</v>
      </c>
      <c r="K63" s="119"/>
      <c r="L63" s="120"/>
      <c r="M63" s="120"/>
      <c r="N63" s="120"/>
      <c r="O63" s="125">
        <f>O65*O$20</f>
        <v>47560.968000000008</v>
      </c>
      <c r="P63" s="122">
        <f t="shared" ref="P63" si="35">O63/O$49</f>
        <v>2.0881378997366622E-2</v>
      </c>
      <c r="Q63" s="125">
        <f>Q65*Q$20</f>
        <v>48853.950600000011</v>
      </c>
      <c r="R63" s="122">
        <f t="shared" ref="R63" si="36">Q63/Q$49</f>
        <v>2.0554379906602211E-2</v>
      </c>
      <c r="S63" s="125">
        <f>S65*S$20</f>
        <v>50319.569118000014</v>
      </c>
      <c r="T63" s="122">
        <f t="shared" ref="T63" si="37">S63/S$49</f>
        <v>2.0231407410967565E-2</v>
      </c>
      <c r="U63" s="125">
        <f>U65*U$20</f>
        <v>51829.156191540016</v>
      </c>
      <c r="V63" s="122">
        <f t="shared" ref="V63" si="38">U63/U$49</f>
        <v>2.0231407410967569E-2</v>
      </c>
      <c r="W63" s="125">
        <f>W65*W$20</f>
        <v>53530.288496128102</v>
      </c>
      <c r="X63" s="122">
        <f t="shared" ref="X63" si="39">W63/W$49</f>
        <v>2.0231407410967565E-2</v>
      </c>
      <c r="Y63" s="125">
        <f>Y65*Y$20</f>
        <v>54985.551803604802</v>
      </c>
      <c r="Z63" s="122">
        <f t="shared" ref="Z63" si="40">Y63/Y$49</f>
        <v>2.0231407410967569E-2</v>
      </c>
      <c r="AA63" s="125">
        <f>AA65*AA$20</f>
        <v>56635.118357712949</v>
      </c>
      <c r="AB63" s="122">
        <f t="shared" ref="AB63" si="41">AA63/AA$49</f>
        <v>2.0231407410967565E-2</v>
      </c>
      <c r="AC63" s="125">
        <f>AC65*AC$20</f>
        <v>58334.171908444339</v>
      </c>
      <c r="AD63" s="122">
        <f t="shared" ref="AD63" si="42">AC63/AC$49</f>
        <v>2.0231407410967565E-2</v>
      </c>
      <c r="AE63" s="125">
        <f>AE65*AE$20</f>
        <v>60248.81130423383</v>
      </c>
      <c r="AF63" s="122">
        <f t="shared" ref="AF63" si="43">AE63/AE$49</f>
        <v>2.0231407410967569E-2</v>
      </c>
      <c r="AG63" s="125">
        <f>AG65*AG$20</f>
        <v>61886.7229776686</v>
      </c>
      <c r="AH63" s="122">
        <f t="shared" ref="AH63" si="44">AG63/AG$49</f>
        <v>2.0231407410967565E-2</v>
      </c>
      <c r="AI63" s="125">
        <f>AI65*AI$20</f>
        <v>63743.324666998662</v>
      </c>
      <c r="AJ63" s="123">
        <f t="shared" ref="AJ63" si="45">AI63/AI$49</f>
        <v>2.0231407410967569E-2</v>
      </c>
      <c r="AK63" s="7"/>
    </row>
    <row r="64" spans="1:37" ht="5.0999999999999996" hidden="1" customHeight="1" outlineLevel="1" x14ac:dyDescent="0.25">
      <c r="A64" s="7"/>
      <c r="B64" s="115"/>
      <c r="C64" s="124"/>
      <c r="D64" s="117"/>
      <c r="E64" s="124"/>
      <c r="F64" s="117"/>
      <c r="G64" s="124"/>
      <c r="H64" s="117"/>
      <c r="I64" s="124"/>
      <c r="J64" s="118"/>
      <c r="K64" s="119"/>
      <c r="L64" s="120"/>
      <c r="M64" s="120"/>
      <c r="N64" s="120"/>
      <c r="O64" s="125"/>
      <c r="P64" s="122"/>
      <c r="Q64" s="126"/>
      <c r="R64" s="122"/>
      <c r="S64" s="126"/>
      <c r="T64" s="122"/>
      <c r="U64" s="126"/>
      <c r="V64" s="122"/>
      <c r="W64" s="126"/>
      <c r="X64" s="122"/>
      <c r="Y64" s="126"/>
      <c r="Z64" s="122"/>
      <c r="AA64" s="126"/>
      <c r="AB64" s="122"/>
      <c r="AC64" s="126"/>
      <c r="AD64" s="122"/>
      <c r="AE64" s="126"/>
      <c r="AF64" s="122"/>
      <c r="AG64" s="126"/>
      <c r="AH64" s="122"/>
      <c r="AI64" s="126"/>
      <c r="AJ64" s="123"/>
      <c r="AK64" s="7"/>
    </row>
    <row r="65" spans="1:37" ht="15.75" hidden="1" outlineLevel="1" thickBot="1" x14ac:dyDescent="0.3">
      <c r="A65" s="7"/>
      <c r="B65" s="115"/>
      <c r="C65" s="128"/>
      <c r="D65" s="129"/>
      <c r="E65" s="128"/>
      <c r="F65" s="129"/>
      <c r="G65" s="128"/>
      <c r="H65" s="129"/>
      <c r="I65" s="130">
        <f>I63/$I$20</f>
        <v>2.4538846457729786</v>
      </c>
      <c r="J65" s="131"/>
      <c r="K65" s="132"/>
      <c r="L65" s="129"/>
      <c r="M65" s="165" t="s">
        <v>25</v>
      </c>
      <c r="N65" s="166"/>
      <c r="O65" s="135">
        <v>2.4500000000000002</v>
      </c>
      <c r="P65" s="136"/>
      <c r="Q65" s="137">
        <f>O65*(1+IF($M67=$B$104,$N66,Q67))</f>
        <v>2.5235000000000003</v>
      </c>
      <c r="R65" s="138"/>
      <c r="S65" s="137">
        <f>Q65*(1+IF($M67=$B$104,$N66,S67))</f>
        <v>2.5992050000000004</v>
      </c>
      <c r="T65" s="138"/>
      <c r="U65" s="137">
        <f>S65*(1+IF($M67=$B$104,$N66,U67))</f>
        <v>2.6771811500000005</v>
      </c>
      <c r="V65" s="138"/>
      <c r="W65" s="137">
        <f>U65*(1+IF($M67=$B$104,$N66,W67))</f>
        <v>2.7574965845000006</v>
      </c>
      <c r="X65" s="138"/>
      <c r="Y65" s="137">
        <f>W65*(1+IF($M67=$B$104,$N66,Y67))</f>
        <v>2.8402214820350005</v>
      </c>
      <c r="Z65" s="138"/>
      <c r="AA65" s="137">
        <f>Y65*(1+IF($M67=$B$104,$N66,AA67))</f>
        <v>2.9254281264960507</v>
      </c>
      <c r="AB65" s="138"/>
      <c r="AC65" s="137">
        <f>AA65*(1+IF($M67=$B$104,$N66,AC67))</f>
        <v>3.0131909702909323</v>
      </c>
      <c r="AD65" s="138"/>
      <c r="AE65" s="137">
        <f>AC65*(1+IF($M67=$B$104,$N66,AE67))</f>
        <v>3.1035866993996604</v>
      </c>
      <c r="AF65" s="138"/>
      <c r="AG65" s="137">
        <f>AE65*(1+IF($M67=$B$104,$N66,AG67))</f>
        <v>3.1966943003816501</v>
      </c>
      <c r="AH65" s="138"/>
      <c r="AI65" s="137">
        <f>AG65*(1+IF($M67=$B$104,$N66,AI67))</f>
        <v>3.2925951293930997</v>
      </c>
      <c r="AJ65" s="139"/>
      <c r="AK65" s="7"/>
    </row>
    <row r="66" spans="1:37" hidden="1" outlineLevel="1" x14ac:dyDescent="0.25">
      <c r="A66" s="7"/>
      <c r="B66" s="115"/>
      <c r="C66" s="128"/>
      <c r="D66" s="129"/>
      <c r="E66" s="128"/>
      <c r="F66" s="129"/>
      <c r="G66" s="128"/>
      <c r="H66" s="129"/>
      <c r="I66" s="128"/>
      <c r="J66" s="131"/>
      <c r="K66" s="132"/>
      <c r="L66" s="129"/>
      <c r="M66" s="140" t="s">
        <v>26</v>
      </c>
      <c r="N66" s="141">
        <v>0.03</v>
      </c>
      <c r="O66" s="218">
        <f>$N66</f>
        <v>0.03</v>
      </c>
      <c r="P66" s="145"/>
      <c r="Q66" s="144">
        <f>$N66</f>
        <v>0.03</v>
      </c>
      <c r="R66" s="145"/>
      <c r="S66" s="144">
        <f>$N66</f>
        <v>0.03</v>
      </c>
      <c r="T66" s="145"/>
      <c r="U66" s="144">
        <f>$N66</f>
        <v>0.03</v>
      </c>
      <c r="V66" s="145"/>
      <c r="W66" s="144">
        <f>$N66</f>
        <v>0.03</v>
      </c>
      <c r="X66" s="145"/>
      <c r="Y66" s="144">
        <f>$N66</f>
        <v>0.03</v>
      </c>
      <c r="Z66" s="145"/>
      <c r="AA66" s="144">
        <f>$N66</f>
        <v>0.03</v>
      </c>
      <c r="AB66" s="145"/>
      <c r="AC66" s="144">
        <f>$N66</f>
        <v>0.03</v>
      </c>
      <c r="AD66" s="145"/>
      <c r="AE66" s="144">
        <f>$N66</f>
        <v>0.03</v>
      </c>
      <c r="AF66" s="145"/>
      <c r="AG66" s="144">
        <f>$N66</f>
        <v>0.03</v>
      </c>
      <c r="AH66" s="145"/>
      <c r="AI66" s="144">
        <f>$N66</f>
        <v>0.03</v>
      </c>
      <c r="AJ66" s="146"/>
      <c r="AK66" s="7"/>
    </row>
    <row r="67" spans="1:37" ht="15.75" hidden="1" outlineLevel="1" thickBot="1" x14ac:dyDescent="0.3">
      <c r="A67" s="7"/>
      <c r="B67" s="115"/>
      <c r="C67" s="128"/>
      <c r="D67" s="129"/>
      <c r="E67" s="128"/>
      <c r="F67" s="129"/>
      <c r="G67" s="128"/>
      <c r="H67" s="129"/>
      <c r="I67" s="128"/>
      <c r="J67" s="131"/>
      <c r="K67" s="132"/>
      <c r="L67" s="129"/>
      <c r="M67" s="147" t="s">
        <v>27</v>
      </c>
      <c r="N67" s="148" t="s">
        <v>28</v>
      </c>
      <c r="O67" s="178">
        <v>0.04</v>
      </c>
      <c r="P67" s="152"/>
      <c r="Q67" s="151">
        <v>0.04</v>
      </c>
      <c r="R67" s="152"/>
      <c r="S67" s="151">
        <v>0.03</v>
      </c>
      <c r="T67" s="152"/>
      <c r="U67" s="151">
        <v>0.02</v>
      </c>
      <c r="V67" s="152"/>
      <c r="W67" s="151">
        <v>0.02</v>
      </c>
      <c r="X67" s="152"/>
      <c r="Y67" s="151">
        <v>0.02</v>
      </c>
      <c r="Z67" s="152"/>
      <c r="AA67" s="151">
        <v>0.02</v>
      </c>
      <c r="AB67" s="152"/>
      <c r="AC67" s="151">
        <v>0.02</v>
      </c>
      <c r="AD67" s="152"/>
      <c r="AE67" s="151">
        <v>0.02</v>
      </c>
      <c r="AF67" s="152"/>
      <c r="AG67" s="151">
        <v>0.02</v>
      </c>
      <c r="AH67" s="152"/>
      <c r="AI67" s="151">
        <v>0.02</v>
      </c>
      <c r="AJ67" s="153"/>
      <c r="AK67" s="7"/>
    </row>
    <row r="68" spans="1:37" hidden="1" outlineLevel="1" x14ac:dyDescent="0.25">
      <c r="A68" s="7"/>
      <c r="B68" s="154"/>
      <c r="C68" s="155"/>
      <c r="D68" s="156"/>
      <c r="E68" s="155"/>
      <c r="F68" s="156"/>
      <c r="G68" s="155"/>
      <c r="H68" s="156"/>
      <c r="I68" s="155"/>
      <c r="J68" s="157"/>
      <c r="K68" s="158"/>
      <c r="L68" s="159"/>
      <c r="M68" s="160"/>
      <c r="N68" s="160"/>
      <c r="O68" s="161"/>
      <c r="P68" s="162"/>
      <c r="Q68" s="163"/>
      <c r="R68" s="162"/>
      <c r="S68" s="163"/>
      <c r="T68" s="162"/>
      <c r="U68" s="163"/>
      <c r="V68" s="162"/>
      <c r="W68" s="163"/>
      <c r="X68" s="162"/>
      <c r="Y68" s="163"/>
      <c r="Z68" s="162"/>
      <c r="AA68" s="163"/>
      <c r="AB68" s="162"/>
      <c r="AC68" s="163"/>
      <c r="AD68" s="162"/>
      <c r="AE68" s="163"/>
      <c r="AF68" s="162"/>
      <c r="AG68" s="163"/>
      <c r="AH68" s="162"/>
      <c r="AI68" s="163"/>
      <c r="AJ68" s="164"/>
      <c r="AK68" s="7"/>
    </row>
    <row r="69" spans="1:37" collapsed="1" x14ac:dyDescent="0.25">
      <c r="A69" s="7"/>
      <c r="B69" s="115" t="s">
        <v>39</v>
      </c>
      <c r="C69" s="124">
        <f>28941.65+9140.84</f>
        <v>38082.490000000005</v>
      </c>
      <c r="D69" s="117">
        <f>C69/C$49</f>
        <v>2.0835206035827145E-2</v>
      </c>
      <c r="E69" s="124">
        <f>10306.03+21912.96</f>
        <v>32218.989999999998</v>
      </c>
      <c r="F69" s="117">
        <f>E69/E$49</f>
        <v>1.4734613921485609E-2</v>
      </c>
      <c r="G69" s="124">
        <f>48994.14+44734.61</f>
        <v>93728.75</v>
      </c>
      <c r="H69" s="117">
        <f>G69/G$49</f>
        <v>4.1122817320765032E-2</v>
      </c>
      <c r="I69" s="124">
        <f>56596+52420</f>
        <v>109016</v>
      </c>
      <c r="J69" s="118">
        <f>I69/I$49</f>
        <v>4.5531527625854266E-2</v>
      </c>
      <c r="K69" s="119"/>
      <c r="L69" s="120"/>
      <c r="M69" s="120"/>
      <c r="N69" s="120"/>
      <c r="O69" s="125">
        <f>O71*O$20</f>
        <v>96818.735591507531</v>
      </c>
      <c r="P69" s="122">
        <f t="shared" ref="P69" si="46">O69/O$49</f>
        <v>4.250772843673193E-2</v>
      </c>
      <c r="Q69" s="125">
        <f>Q71*Q$20</f>
        <v>99450.829632861365</v>
      </c>
      <c r="R69" s="122">
        <f t="shared" ref="R69" si="47">Q69/Q$49</f>
        <v>4.1842064135967846E-2</v>
      </c>
      <c r="S69" s="125">
        <f>S71*S$20</f>
        <v>102434.35452184721</v>
      </c>
      <c r="T69" s="122">
        <f t="shared" ref="T69" si="48">S69/S$49</f>
        <v>4.1184596679498496E-2</v>
      </c>
      <c r="U69" s="125">
        <f>U71*U$20</f>
        <v>105507.38515750263</v>
      </c>
      <c r="V69" s="122">
        <f t="shared" ref="V69" si="49">U69/U$49</f>
        <v>4.118459667949851E-2</v>
      </c>
      <c r="W69" s="125">
        <f>W71*W$20</f>
        <v>108970.33988130231</v>
      </c>
      <c r="X69" s="122">
        <f t="shared" ref="X69" si="50">W69/W$49</f>
        <v>4.1184596679498496E-2</v>
      </c>
      <c r="Y69" s="125">
        <f>Y71*Y$20</f>
        <v>111932.78491359456</v>
      </c>
      <c r="Z69" s="122">
        <f t="shared" ref="Z69" si="51">Y69/Y$49</f>
        <v>4.1184596679498517E-2</v>
      </c>
      <c r="AA69" s="125">
        <f>AA71*AA$20</f>
        <v>115290.7684610024</v>
      </c>
      <c r="AB69" s="122">
        <f t="shared" ref="AB69" si="52">AA69/AA$49</f>
        <v>4.118459667949851E-2</v>
      </c>
      <c r="AC69" s="125">
        <f>AC71*AC$20</f>
        <v>118749.49151483248</v>
      </c>
      <c r="AD69" s="122">
        <f t="shared" ref="AD69" si="53">AC69/AC$49</f>
        <v>4.118459667949851E-2</v>
      </c>
      <c r="AE69" s="125">
        <f>AE71*AE$20</f>
        <v>122647.07756510013</v>
      </c>
      <c r="AF69" s="122">
        <f t="shared" ref="AF69" si="54">AE69/AE$49</f>
        <v>4.118459667949851E-2</v>
      </c>
      <c r="AG69" s="125">
        <f>AG71*AG$20</f>
        <v>125981.33554808577</v>
      </c>
      <c r="AH69" s="122">
        <f t="shared" ref="AH69" si="55">AG69/AG$49</f>
        <v>4.1184596679498503E-2</v>
      </c>
      <c r="AI69" s="125">
        <f>AI71*AI$20</f>
        <v>129760.77561452835</v>
      </c>
      <c r="AJ69" s="123">
        <f t="shared" ref="AJ69" si="56">AI69/AI$49</f>
        <v>4.118459667949851E-2</v>
      </c>
      <c r="AK69" s="7"/>
    </row>
    <row r="70" spans="1:37" ht="5.0999999999999996" hidden="1" customHeight="1" outlineLevel="1" x14ac:dyDescent="0.25">
      <c r="A70" s="7"/>
      <c r="B70" s="115"/>
      <c r="C70" s="124"/>
      <c r="D70" s="117"/>
      <c r="E70" s="124"/>
      <c r="F70" s="117"/>
      <c r="G70" s="124"/>
      <c r="H70" s="117"/>
      <c r="I70" s="124"/>
      <c r="J70" s="118"/>
      <c r="K70" s="119"/>
      <c r="L70" s="120"/>
      <c r="M70" s="120"/>
      <c r="N70" s="120"/>
      <c r="O70" s="125"/>
      <c r="P70" s="122"/>
      <c r="Q70" s="126"/>
      <c r="R70" s="122"/>
      <c r="S70" s="126"/>
      <c r="T70" s="122"/>
      <c r="U70" s="126"/>
      <c r="V70" s="122"/>
      <c r="W70" s="126"/>
      <c r="X70" s="122"/>
      <c r="Y70" s="126"/>
      <c r="Z70" s="122"/>
      <c r="AA70" s="126"/>
      <c r="AB70" s="122"/>
      <c r="AC70" s="126"/>
      <c r="AD70" s="122"/>
      <c r="AE70" s="126"/>
      <c r="AF70" s="122"/>
      <c r="AG70" s="126"/>
      <c r="AH70" s="122"/>
      <c r="AI70" s="126"/>
      <c r="AJ70" s="123"/>
      <c r="AK70" s="7"/>
    </row>
    <row r="71" spans="1:37" ht="15.75" hidden="1" outlineLevel="1" thickBot="1" x14ac:dyDescent="0.3">
      <c r="A71" s="7"/>
      <c r="B71" s="115"/>
      <c r="C71" s="128"/>
      <c r="D71" s="129"/>
      <c r="E71" s="128"/>
      <c r="F71" s="129"/>
      <c r="G71" s="128"/>
      <c r="H71" s="129"/>
      <c r="I71" s="130">
        <f>I69/$I$20</f>
        <v>5.7422175401632867</v>
      </c>
      <c r="J71" s="131"/>
      <c r="K71" s="132"/>
      <c r="L71" s="129"/>
      <c r="M71" s="165" t="s">
        <v>25</v>
      </c>
      <c r="N71" s="166"/>
      <c r="O71" s="135">
        <v>4.9874069467886653</v>
      </c>
      <c r="P71" s="136"/>
      <c r="Q71" s="137">
        <f>O71*(1+IF($M73=$B$104,$N72,Q73))</f>
        <v>5.1370291551923257</v>
      </c>
      <c r="R71" s="138"/>
      <c r="S71" s="137">
        <f>Q71*(1+IF($M73=$B$104,$N72,S73))</f>
        <v>5.2911400298480959</v>
      </c>
      <c r="T71" s="138"/>
      <c r="U71" s="137">
        <f>S71*(1+IF($M73=$B$104,$N72,U73))</f>
        <v>5.4498742307435393</v>
      </c>
      <c r="V71" s="138"/>
      <c r="W71" s="137">
        <f>U71*(1+IF($M73=$B$104,$N72,W73))</f>
        <v>5.6133704576658454</v>
      </c>
      <c r="X71" s="138"/>
      <c r="Y71" s="137">
        <f>W71*(1+IF($M73=$B$104,$N72,Y73))</f>
        <v>5.7817715713958213</v>
      </c>
      <c r="Z71" s="138"/>
      <c r="AA71" s="137">
        <f>Y71*(1+IF($M73=$B$104,$N72,AA73))</f>
        <v>5.9552247185376963</v>
      </c>
      <c r="AB71" s="138"/>
      <c r="AC71" s="137">
        <f>AA71*(1+IF($M73=$B$104,$N72,AC73))</f>
        <v>6.1338814600938276</v>
      </c>
      <c r="AD71" s="138"/>
      <c r="AE71" s="137">
        <f>AC71*(1+IF($M73=$B$104,$N72,AE73))</f>
        <v>6.3178979038966423</v>
      </c>
      <c r="AF71" s="138"/>
      <c r="AG71" s="137">
        <f>AE71*(1+IF($M73=$B$104,$N72,AG73))</f>
        <v>6.5074348410135414</v>
      </c>
      <c r="AH71" s="138"/>
      <c r="AI71" s="137">
        <f>AG71*(1+IF($M73=$B$104,$N72,AI73))</f>
        <v>6.7026578862439479</v>
      </c>
      <c r="AJ71" s="139"/>
      <c r="AK71" s="7"/>
    </row>
    <row r="72" spans="1:37" hidden="1" outlineLevel="1" x14ac:dyDescent="0.25">
      <c r="A72" s="7"/>
      <c r="B72" s="115"/>
      <c r="C72" s="128"/>
      <c r="D72" s="129"/>
      <c r="E72" s="128"/>
      <c r="F72" s="129"/>
      <c r="G72" s="128"/>
      <c r="H72" s="129"/>
      <c r="I72" s="128"/>
      <c r="J72" s="131"/>
      <c r="K72" s="132"/>
      <c r="L72" s="129"/>
      <c r="M72" s="140" t="s">
        <v>26</v>
      </c>
      <c r="N72" s="141">
        <v>0.03</v>
      </c>
      <c r="O72" s="218">
        <f>$N72</f>
        <v>0.03</v>
      </c>
      <c r="P72" s="145"/>
      <c r="Q72" s="144">
        <f>$N72</f>
        <v>0.03</v>
      </c>
      <c r="R72" s="145"/>
      <c r="S72" s="144">
        <f>$N72</f>
        <v>0.03</v>
      </c>
      <c r="T72" s="145"/>
      <c r="U72" s="144">
        <f>$N72</f>
        <v>0.03</v>
      </c>
      <c r="V72" s="145"/>
      <c r="W72" s="144">
        <f>$N72</f>
        <v>0.03</v>
      </c>
      <c r="X72" s="145"/>
      <c r="Y72" s="144">
        <f>$N72</f>
        <v>0.03</v>
      </c>
      <c r="Z72" s="145"/>
      <c r="AA72" s="144">
        <f>$N72</f>
        <v>0.03</v>
      </c>
      <c r="AB72" s="145"/>
      <c r="AC72" s="144">
        <f>$N72</f>
        <v>0.03</v>
      </c>
      <c r="AD72" s="145"/>
      <c r="AE72" s="144">
        <f>$N72</f>
        <v>0.03</v>
      </c>
      <c r="AF72" s="145"/>
      <c r="AG72" s="144">
        <f>$N72</f>
        <v>0.03</v>
      </c>
      <c r="AH72" s="145"/>
      <c r="AI72" s="144">
        <f>$N72</f>
        <v>0.03</v>
      </c>
      <c r="AJ72" s="146"/>
      <c r="AK72" s="7"/>
    </row>
    <row r="73" spans="1:37" ht="15.75" hidden="1" outlineLevel="1" thickBot="1" x14ac:dyDescent="0.3">
      <c r="A73" s="7"/>
      <c r="B73" s="115"/>
      <c r="C73" s="128"/>
      <c r="D73" s="129"/>
      <c r="E73" s="128"/>
      <c r="F73" s="129"/>
      <c r="G73" s="128"/>
      <c r="H73" s="129"/>
      <c r="I73" s="128"/>
      <c r="J73" s="131"/>
      <c r="K73" s="132"/>
      <c r="L73" s="129"/>
      <c r="M73" s="147" t="s">
        <v>27</v>
      </c>
      <c r="N73" s="148" t="s">
        <v>28</v>
      </c>
      <c r="O73" s="178">
        <v>0.04</v>
      </c>
      <c r="P73" s="152"/>
      <c r="Q73" s="151">
        <v>0.04</v>
      </c>
      <c r="R73" s="152"/>
      <c r="S73" s="151">
        <v>0.03</v>
      </c>
      <c r="T73" s="152"/>
      <c r="U73" s="151">
        <v>0.02</v>
      </c>
      <c r="V73" s="152"/>
      <c r="W73" s="151">
        <v>0.02</v>
      </c>
      <c r="X73" s="152"/>
      <c r="Y73" s="151">
        <v>0.02</v>
      </c>
      <c r="Z73" s="152"/>
      <c r="AA73" s="151">
        <v>0.02</v>
      </c>
      <c r="AB73" s="152"/>
      <c r="AC73" s="151">
        <v>0.02</v>
      </c>
      <c r="AD73" s="152"/>
      <c r="AE73" s="151">
        <v>0.02</v>
      </c>
      <c r="AF73" s="152"/>
      <c r="AG73" s="151">
        <v>0.02</v>
      </c>
      <c r="AH73" s="152"/>
      <c r="AI73" s="151">
        <v>0.02</v>
      </c>
      <c r="AJ73" s="153"/>
      <c r="AK73" s="7"/>
    </row>
    <row r="74" spans="1:37" hidden="1" outlineLevel="1" x14ac:dyDescent="0.25">
      <c r="A74" s="7"/>
      <c r="B74" s="154"/>
      <c r="C74" s="155"/>
      <c r="D74" s="156"/>
      <c r="E74" s="155"/>
      <c r="F74" s="156"/>
      <c r="G74" s="155"/>
      <c r="H74" s="156"/>
      <c r="I74" s="155"/>
      <c r="J74" s="157"/>
      <c r="K74" s="158"/>
      <c r="L74" s="159"/>
      <c r="M74" s="160"/>
      <c r="N74" s="160"/>
      <c r="O74" s="161"/>
      <c r="P74" s="162"/>
      <c r="Q74" s="163"/>
      <c r="R74" s="162"/>
      <c r="S74" s="163"/>
      <c r="T74" s="162"/>
      <c r="U74" s="163"/>
      <c r="V74" s="162"/>
      <c r="W74" s="163"/>
      <c r="X74" s="162"/>
      <c r="Y74" s="163"/>
      <c r="Z74" s="162"/>
      <c r="AA74" s="163"/>
      <c r="AB74" s="162"/>
      <c r="AC74" s="163"/>
      <c r="AD74" s="162"/>
      <c r="AE74" s="163"/>
      <c r="AF74" s="162"/>
      <c r="AG74" s="163"/>
      <c r="AH74" s="162"/>
      <c r="AI74" s="163"/>
      <c r="AJ74" s="164"/>
      <c r="AK74" s="7"/>
    </row>
    <row r="75" spans="1:37" collapsed="1" x14ac:dyDescent="0.25">
      <c r="A75" s="7"/>
      <c r="B75" s="115" t="s">
        <v>40</v>
      </c>
      <c r="C75" s="124">
        <f>30906.47+99516.38</f>
        <v>130422.85</v>
      </c>
      <c r="D75" s="117">
        <f>C75/C$49</f>
        <v>7.1355285632052373E-2</v>
      </c>
      <c r="E75" s="124">
        <f>121223.46+46766.59</f>
        <v>167990.05</v>
      </c>
      <c r="F75" s="117">
        <f>E75/E$49</f>
        <v>7.6826384979822873E-2</v>
      </c>
      <c r="G75" s="124">
        <f>183859.89+87956.42</f>
        <v>271816.31</v>
      </c>
      <c r="H75" s="117">
        <f>G75/G$49</f>
        <v>0.11925745794043384</v>
      </c>
      <c r="I75" s="124">
        <f>84386+184474</f>
        <v>268860</v>
      </c>
      <c r="J75" s="118">
        <f>I75/I$49</f>
        <v>0.11229183346928139</v>
      </c>
      <c r="K75" s="119"/>
      <c r="L75" s="120"/>
      <c r="M75" s="120"/>
      <c r="N75" s="120"/>
      <c r="O75" s="125">
        <f>O77*O$20</f>
        <v>275659.48800000001</v>
      </c>
      <c r="P75" s="122">
        <f t="shared" ref="P75" si="57">O75/O$49</f>
        <v>0.12102676806636981</v>
      </c>
      <c r="Q75" s="125">
        <f>Q77*Q$20</f>
        <v>283153.50960000005</v>
      </c>
      <c r="R75" s="122">
        <f t="shared" ref="R75" si="58">Q75/Q$49</f>
        <v>0.11913150803010261</v>
      </c>
      <c r="S75" s="125">
        <f>S77*S$20</f>
        <v>291648.11488800001</v>
      </c>
      <c r="T75" s="122">
        <f t="shared" ref="T75" si="59">S75/S$49</f>
        <v>0.11725958581050586</v>
      </c>
      <c r="U75" s="125">
        <f>U77*U$20</f>
        <v>300397.55833464005</v>
      </c>
      <c r="V75" s="122">
        <f t="shared" ref="V75" si="60">U75/U$49</f>
        <v>0.1172595858105059</v>
      </c>
      <c r="W75" s="125">
        <f>W77*W$20</f>
        <v>310257.18230408937</v>
      </c>
      <c r="X75" s="122">
        <f t="shared" ref="X75" si="61">W75/W$49</f>
        <v>0.11725958581050587</v>
      </c>
      <c r="Y75" s="125">
        <f>Y77*Y$20</f>
        <v>318691.76963721961</v>
      </c>
      <c r="Z75" s="122">
        <f t="shared" ref="Z75" si="62">Y75/Y$49</f>
        <v>0.1172595858105059</v>
      </c>
      <c r="AA75" s="125">
        <f>AA77*AA$20</f>
        <v>328252.5227263362</v>
      </c>
      <c r="AB75" s="122">
        <f t="shared" ref="AB75" si="63">AA75/AA$49</f>
        <v>0.11725958581050587</v>
      </c>
      <c r="AC75" s="125">
        <f>AC77*AC$20</f>
        <v>338100.09840812627</v>
      </c>
      <c r="AD75" s="122">
        <f t="shared" ref="AD75" si="64">AC75/AC$49</f>
        <v>0.11725958581050586</v>
      </c>
      <c r="AE75" s="125">
        <f>AE77*AE$20</f>
        <v>349197.19204902858</v>
      </c>
      <c r="AF75" s="122">
        <f t="shared" ref="AF75" si="65">AE75/AE$49</f>
        <v>0.11725958581050586</v>
      </c>
      <c r="AG75" s="125">
        <f>AG77*AG$20</f>
        <v>358690.39440118114</v>
      </c>
      <c r="AH75" s="122">
        <f t="shared" ref="AH75" si="66">AG75/AG$49</f>
        <v>0.11725958581050584</v>
      </c>
      <c r="AI75" s="125">
        <f>AI77*AI$20</f>
        <v>369451.10623321659</v>
      </c>
      <c r="AJ75" s="123">
        <f t="shared" ref="AJ75" si="67">AI75/AI$49</f>
        <v>0.11725958581050587</v>
      </c>
      <c r="AK75" s="220"/>
    </row>
    <row r="76" spans="1:37" ht="5.0999999999999996" hidden="1" customHeight="1" outlineLevel="1" x14ac:dyDescent="0.25">
      <c r="A76" s="7"/>
      <c r="B76" s="115"/>
      <c r="C76" s="124"/>
      <c r="D76" s="117"/>
      <c r="E76" s="124"/>
      <c r="F76" s="117"/>
      <c r="G76" s="124"/>
      <c r="H76" s="117"/>
      <c r="I76" s="124"/>
      <c r="J76" s="118"/>
      <c r="K76" s="119"/>
      <c r="L76" s="120"/>
      <c r="M76" s="120"/>
      <c r="N76" s="120"/>
      <c r="O76" s="125"/>
      <c r="P76" s="122"/>
      <c r="Q76" s="126"/>
      <c r="R76" s="122"/>
      <c r="S76" s="126"/>
      <c r="T76" s="122"/>
      <c r="U76" s="126"/>
      <c r="V76" s="122"/>
      <c r="W76" s="126"/>
      <c r="X76" s="122"/>
      <c r="Y76" s="126"/>
      <c r="Z76" s="122"/>
      <c r="AA76" s="126"/>
      <c r="AB76" s="122"/>
      <c r="AC76" s="126"/>
      <c r="AD76" s="122"/>
      <c r="AE76" s="126"/>
      <c r="AF76" s="122"/>
      <c r="AG76" s="126"/>
      <c r="AH76" s="122"/>
      <c r="AI76" s="126"/>
      <c r="AJ76" s="123"/>
      <c r="AK76" s="220"/>
    </row>
    <row r="77" spans="1:37" ht="15.75" hidden="1" outlineLevel="1" thickBot="1" x14ac:dyDescent="0.3">
      <c r="A77" s="7"/>
      <c r="B77" s="115"/>
      <c r="C77" s="128"/>
      <c r="D77" s="129"/>
      <c r="E77" s="128"/>
      <c r="F77" s="129"/>
      <c r="G77" s="128"/>
      <c r="H77" s="129"/>
      <c r="I77" s="130">
        <f>I75/$I$20</f>
        <v>14.161706610481959</v>
      </c>
      <c r="J77" s="131"/>
      <c r="K77" s="132"/>
      <c r="L77" s="129"/>
      <c r="M77" s="165" t="s">
        <v>25</v>
      </c>
      <c r="N77" s="166"/>
      <c r="O77" s="135">
        <v>14.2</v>
      </c>
      <c r="P77" s="136"/>
      <c r="Q77" s="137">
        <f>O77*(1+IF($M79=$B$104,$N78,Q79))</f>
        <v>14.625999999999999</v>
      </c>
      <c r="R77" s="138"/>
      <c r="S77" s="137">
        <f>Q77*(1+IF($M79=$B$104,$N78,S79))</f>
        <v>15.064779999999999</v>
      </c>
      <c r="T77" s="138"/>
      <c r="U77" s="137">
        <f>S77*(1+IF($M79=$B$104,$N78,U79))</f>
        <v>15.5167234</v>
      </c>
      <c r="V77" s="138"/>
      <c r="W77" s="137">
        <f>U77*(1+IF($M79=$B$104,$N78,W79))</f>
        <v>15.982225102000001</v>
      </c>
      <c r="X77" s="138"/>
      <c r="Y77" s="137">
        <f>W77*(1+IF($M79=$B$104,$N78,Y79))</f>
        <v>16.46169185506</v>
      </c>
      <c r="Z77" s="138"/>
      <c r="AA77" s="137">
        <f>Y77*(1+IF($M79=$B$104,$N78,AA79))</f>
        <v>16.955542610711799</v>
      </c>
      <c r="AB77" s="138"/>
      <c r="AC77" s="137">
        <f>AA77*(1+IF($M79=$B$104,$N78,AC79))</f>
        <v>17.464208889033152</v>
      </c>
      <c r="AD77" s="138"/>
      <c r="AE77" s="137">
        <f>AC77*(1+IF($M79=$B$104,$N78,AE79))</f>
        <v>17.988135155704146</v>
      </c>
      <c r="AF77" s="138"/>
      <c r="AG77" s="137">
        <f>AE77*(1+IF($M79=$B$104,$N78,AG79))</f>
        <v>18.527779210375272</v>
      </c>
      <c r="AH77" s="138"/>
      <c r="AI77" s="137">
        <f>AG77*(1+IF($M79=$B$104,$N78,AI79))</f>
        <v>19.083612586686531</v>
      </c>
      <c r="AJ77" s="139"/>
      <c r="AK77" s="220"/>
    </row>
    <row r="78" spans="1:37" hidden="1" outlineLevel="1" x14ac:dyDescent="0.25">
      <c r="A78" s="7"/>
      <c r="B78" s="115"/>
      <c r="C78" s="128"/>
      <c r="D78" s="129"/>
      <c r="E78" s="128"/>
      <c r="F78" s="129"/>
      <c r="G78" s="128"/>
      <c r="H78" s="129"/>
      <c r="I78" s="128"/>
      <c r="J78" s="131"/>
      <c r="K78" s="132"/>
      <c r="L78" s="129"/>
      <c r="M78" s="140" t="s">
        <v>26</v>
      </c>
      <c r="N78" s="141">
        <v>0.03</v>
      </c>
      <c r="O78" s="218">
        <f>$N78</f>
        <v>0.03</v>
      </c>
      <c r="P78" s="145"/>
      <c r="Q78" s="144">
        <f>$N78</f>
        <v>0.03</v>
      </c>
      <c r="R78" s="145"/>
      <c r="S78" s="144">
        <f>$N78</f>
        <v>0.03</v>
      </c>
      <c r="T78" s="145"/>
      <c r="U78" s="144">
        <f>$N78</f>
        <v>0.03</v>
      </c>
      <c r="V78" s="145"/>
      <c r="W78" s="144">
        <f>$N78</f>
        <v>0.03</v>
      </c>
      <c r="X78" s="145"/>
      <c r="Y78" s="144">
        <f>$N78</f>
        <v>0.03</v>
      </c>
      <c r="Z78" s="145"/>
      <c r="AA78" s="144">
        <f>$N78</f>
        <v>0.03</v>
      </c>
      <c r="AB78" s="145"/>
      <c r="AC78" s="144">
        <f>$N78</f>
        <v>0.03</v>
      </c>
      <c r="AD78" s="145"/>
      <c r="AE78" s="144">
        <f>$N78</f>
        <v>0.03</v>
      </c>
      <c r="AF78" s="145"/>
      <c r="AG78" s="144">
        <f>$N78</f>
        <v>0.03</v>
      </c>
      <c r="AH78" s="145"/>
      <c r="AI78" s="144">
        <f>$N78</f>
        <v>0.03</v>
      </c>
      <c r="AJ78" s="146"/>
      <c r="AK78" s="220"/>
    </row>
    <row r="79" spans="1:37" ht="15.75" hidden="1" outlineLevel="1" thickBot="1" x14ac:dyDescent="0.3">
      <c r="A79" s="7"/>
      <c r="B79" s="115"/>
      <c r="C79" s="128"/>
      <c r="D79" s="129"/>
      <c r="E79" s="128"/>
      <c r="F79" s="129"/>
      <c r="G79" s="128"/>
      <c r="H79" s="129"/>
      <c r="I79" s="128"/>
      <c r="J79" s="131"/>
      <c r="K79" s="132"/>
      <c r="L79" s="129"/>
      <c r="M79" s="147" t="s">
        <v>27</v>
      </c>
      <c r="N79" s="148" t="s">
        <v>28</v>
      </c>
      <c r="O79" s="178">
        <v>0.04</v>
      </c>
      <c r="P79" s="152"/>
      <c r="Q79" s="151">
        <v>0.04</v>
      </c>
      <c r="R79" s="152"/>
      <c r="S79" s="151">
        <v>0.03</v>
      </c>
      <c r="T79" s="152"/>
      <c r="U79" s="151">
        <v>0.02</v>
      </c>
      <c r="V79" s="152"/>
      <c r="W79" s="151">
        <v>0.02</v>
      </c>
      <c r="X79" s="152"/>
      <c r="Y79" s="151">
        <v>0.02</v>
      </c>
      <c r="Z79" s="152"/>
      <c r="AA79" s="151">
        <v>0.02</v>
      </c>
      <c r="AB79" s="152"/>
      <c r="AC79" s="151">
        <v>0.02</v>
      </c>
      <c r="AD79" s="152"/>
      <c r="AE79" s="151">
        <v>0.02</v>
      </c>
      <c r="AF79" s="152"/>
      <c r="AG79" s="151">
        <v>0.02</v>
      </c>
      <c r="AH79" s="152"/>
      <c r="AI79" s="151">
        <v>0.02</v>
      </c>
      <c r="AJ79" s="153"/>
      <c r="AK79" s="220"/>
    </row>
    <row r="80" spans="1:37" hidden="1" outlineLevel="1" x14ac:dyDescent="0.25">
      <c r="A80" s="7"/>
      <c r="B80" s="154"/>
      <c r="C80" s="155"/>
      <c r="D80" s="156"/>
      <c r="E80" s="155"/>
      <c r="F80" s="156"/>
      <c r="G80" s="155"/>
      <c r="H80" s="156"/>
      <c r="I80" s="155"/>
      <c r="J80" s="157"/>
      <c r="K80" s="158"/>
      <c r="L80" s="159"/>
      <c r="M80" s="160"/>
      <c r="N80" s="160"/>
      <c r="O80" s="161"/>
      <c r="P80" s="162"/>
      <c r="Q80" s="163"/>
      <c r="R80" s="162"/>
      <c r="S80" s="163"/>
      <c r="T80" s="162"/>
      <c r="U80" s="163"/>
      <c r="V80" s="162"/>
      <c r="W80" s="163"/>
      <c r="X80" s="162"/>
      <c r="Y80" s="163"/>
      <c r="Z80" s="162"/>
      <c r="AA80" s="163"/>
      <c r="AB80" s="162"/>
      <c r="AC80" s="163"/>
      <c r="AD80" s="162"/>
      <c r="AE80" s="163"/>
      <c r="AF80" s="162"/>
      <c r="AG80" s="163"/>
      <c r="AH80" s="162"/>
      <c r="AI80" s="163"/>
      <c r="AJ80" s="164"/>
      <c r="AK80" s="220"/>
    </row>
    <row r="81" spans="1:37" collapsed="1" x14ac:dyDescent="0.25">
      <c r="A81" s="7"/>
      <c r="B81" s="167" t="s">
        <v>41</v>
      </c>
      <c r="C81" s="168">
        <v>88541.24</v>
      </c>
      <c r="D81" s="169">
        <f>C81/C$49</f>
        <v>4.8441553534645972E-2</v>
      </c>
      <c r="E81" s="168">
        <v>162762.62</v>
      </c>
      <c r="F81" s="169">
        <f>E81/E$49</f>
        <v>7.4435740119397659E-2</v>
      </c>
      <c r="G81" s="168">
        <v>157490.70000000001</v>
      </c>
      <c r="H81" s="169">
        <f>G81/G$49</f>
        <v>6.9097915909679897E-2</v>
      </c>
      <c r="I81" s="168">
        <v>150480</v>
      </c>
      <c r="J81" s="170">
        <f>I81/I$49</f>
        <v>6.2849345757857111E-2</v>
      </c>
      <c r="K81" s="171"/>
      <c r="L81" s="172"/>
      <c r="M81" s="172"/>
      <c r="N81" s="172"/>
      <c r="O81" s="173">
        <f>O83*O$20</f>
        <v>147536.06400000001</v>
      </c>
      <c r="P81" s="174">
        <f t="shared" ref="P81" si="68">O81/O$49</f>
        <v>6.4774889951014825E-2</v>
      </c>
      <c r="Q81" s="173">
        <f>Q83*Q$20</f>
        <v>150075.61920000002</v>
      </c>
      <c r="R81" s="174">
        <f t="shared" ref="R81" si="69">Q81/Q$49</f>
        <v>6.3141491197139021E-2</v>
      </c>
      <c r="S81" s="173">
        <f>S83*S$20</f>
        <v>153077.13158400002</v>
      </c>
      <c r="T81" s="174">
        <f t="shared" ref="T81" si="70">S81/S$49</f>
        <v>6.1545952571966024E-2</v>
      </c>
      <c r="U81" s="173">
        <f>U83*U$20</f>
        <v>156138.67421568002</v>
      </c>
      <c r="V81" s="174">
        <f t="shared" ref="V81" si="71">U81/U$49</f>
        <v>6.0948419051849861E-2</v>
      </c>
      <c r="W81" s="173">
        <f>W83*W$20</f>
        <v>159697.78043341826</v>
      </c>
      <c r="X81" s="174">
        <f t="shared" ref="X81" si="72">W81/W$49</f>
        <v>6.0356686828045472E-2</v>
      </c>
      <c r="Y81" s="173">
        <f>Y83*Y$20</f>
        <v>162446.67665399349</v>
      </c>
      <c r="Z81" s="174">
        <f t="shared" ref="Z81" si="73">Y81/Y$49</f>
        <v>5.977069957728777E-2</v>
      </c>
      <c r="AA81" s="173">
        <f>AA83*AA$20</f>
        <v>165695.61018707335</v>
      </c>
      <c r="AB81" s="174">
        <f t="shared" ref="AB81" si="74">AA81/AA$49</f>
        <v>5.9190401523139334E-2</v>
      </c>
      <c r="AC81" s="173">
        <f>AC83*AC$20</f>
        <v>169009.52239081482</v>
      </c>
      <c r="AD81" s="174">
        <f t="shared" ref="AD81" si="75">AC81/AC$49</f>
        <v>5.8615737430681665E-2</v>
      </c>
      <c r="AE81" s="173">
        <f>AE83*AE$20</f>
        <v>172862.01342175063</v>
      </c>
      <c r="AF81" s="174">
        <f t="shared" ref="AF81" si="76">AE81/AE$49</f>
        <v>5.8046652601257562E-2</v>
      </c>
      <c r="AG81" s="173">
        <f>AG83*AG$20</f>
        <v>175837.50709540371</v>
      </c>
      <c r="AH81" s="174">
        <f t="shared" ref="AH81" si="77">AG81/AG$49</f>
        <v>5.7483092867264766E-2</v>
      </c>
      <c r="AI81" s="173">
        <f>AI83*AI$20</f>
        <v>179354.25723731177</v>
      </c>
      <c r="AJ81" s="175">
        <f t="shared" ref="AJ81" si="78">AI81/AI$49</f>
        <v>5.6925004587000068E-2</v>
      </c>
      <c r="AK81" s="7"/>
    </row>
    <row r="82" spans="1:37" ht="5.0999999999999996" hidden="1" customHeight="1" outlineLevel="1" x14ac:dyDescent="0.25">
      <c r="A82" s="7"/>
      <c r="B82" s="115"/>
      <c r="C82" s="124"/>
      <c r="D82" s="117"/>
      <c r="E82" s="124"/>
      <c r="F82" s="117"/>
      <c r="G82" s="124"/>
      <c r="H82" s="117"/>
      <c r="I82" s="124"/>
      <c r="J82" s="118"/>
      <c r="K82" s="119"/>
      <c r="L82" s="120"/>
      <c r="M82" s="120"/>
      <c r="N82" s="120"/>
      <c r="O82" s="125"/>
      <c r="P82" s="122"/>
      <c r="Q82" s="126"/>
      <c r="R82" s="122"/>
      <c r="S82" s="126"/>
      <c r="T82" s="122"/>
      <c r="U82" s="126"/>
      <c r="V82" s="122"/>
      <c r="W82" s="126"/>
      <c r="X82" s="122"/>
      <c r="Y82" s="126"/>
      <c r="Z82" s="122"/>
      <c r="AA82" s="126"/>
      <c r="AB82" s="122"/>
      <c r="AC82" s="126"/>
      <c r="AD82" s="122"/>
      <c r="AE82" s="126"/>
      <c r="AF82" s="122"/>
      <c r="AG82" s="126"/>
      <c r="AH82" s="122"/>
      <c r="AI82" s="126"/>
      <c r="AJ82" s="123"/>
      <c r="AK82" s="7"/>
    </row>
    <row r="83" spans="1:37" ht="15.75" hidden="1" outlineLevel="1" thickBot="1" x14ac:dyDescent="0.3">
      <c r="A83" s="7"/>
      <c r="B83" s="115"/>
      <c r="C83" s="128"/>
      <c r="D83" s="129"/>
      <c r="E83" s="128"/>
      <c r="F83" s="129"/>
      <c r="G83" s="128"/>
      <c r="H83" s="129"/>
      <c r="I83" s="130">
        <f>I81/$I$20</f>
        <v>7.9262575717671844</v>
      </c>
      <c r="J83" s="131"/>
      <c r="K83" s="132"/>
      <c r="L83" s="129"/>
      <c r="M83" s="165" t="s">
        <v>25</v>
      </c>
      <c r="N83" s="166"/>
      <c r="O83" s="135">
        <v>7.6</v>
      </c>
      <c r="P83" s="136"/>
      <c r="Q83" s="137">
        <f>O83*(1+IF($M85=$B$104,$N84,Q85))</f>
        <v>7.7519999999999998</v>
      </c>
      <c r="R83" s="138"/>
      <c r="S83" s="137">
        <f>Q83*(1+IF($M85=$B$104,$N84,S85))</f>
        <v>7.9070400000000003</v>
      </c>
      <c r="T83" s="138"/>
      <c r="U83" s="137">
        <f>S83*(1+IF($M85=$B$104,$N84,U85))</f>
        <v>8.0651808000000003</v>
      </c>
      <c r="V83" s="138"/>
      <c r="W83" s="137">
        <f>U83*(1+IF($M85=$B$104,$N84,W85))</f>
        <v>8.2264844159999999</v>
      </c>
      <c r="X83" s="138"/>
      <c r="Y83" s="137">
        <f>W83*(1+IF($M85=$B$104,$N84,Y85))</f>
        <v>8.3910141043199999</v>
      </c>
      <c r="Z83" s="138"/>
      <c r="AA83" s="137">
        <f>Y83*(1+IF($M85=$B$104,$N84,AA85))</f>
        <v>8.5588343864063994</v>
      </c>
      <c r="AB83" s="138"/>
      <c r="AC83" s="137">
        <f>AA83*(1+IF($M85=$B$104,$N84,AC85))</f>
        <v>8.7300110741345271</v>
      </c>
      <c r="AD83" s="138"/>
      <c r="AE83" s="137">
        <f>AC83*(1+IF($M85=$B$104,$N84,AE85))</f>
        <v>8.904611295617217</v>
      </c>
      <c r="AF83" s="138"/>
      <c r="AG83" s="137">
        <f>AE83*(1+IF($M85=$B$104,$N84,AG85))</f>
        <v>9.0827035215295613</v>
      </c>
      <c r="AH83" s="138"/>
      <c r="AI83" s="137">
        <f>AG83*(1+IF($M85=$B$104,$N84,AI85))</f>
        <v>9.2643575919601524</v>
      </c>
      <c r="AJ83" s="139"/>
      <c r="AK83" s="7"/>
    </row>
    <row r="84" spans="1:37" hidden="1" outlineLevel="1" x14ac:dyDescent="0.25">
      <c r="A84" s="7"/>
      <c r="B84" s="115"/>
      <c r="C84" s="128"/>
      <c r="D84" s="129"/>
      <c r="E84" s="128"/>
      <c r="F84" s="129"/>
      <c r="G84" s="128"/>
      <c r="H84" s="129"/>
      <c r="I84" s="128"/>
      <c r="J84" s="131"/>
      <c r="K84" s="132"/>
      <c r="L84" s="129"/>
      <c r="M84" s="140" t="s">
        <v>26</v>
      </c>
      <c r="N84" s="141">
        <v>0.03</v>
      </c>
      <c r="O84" s="218">
        <f>$N84</f>
        <v>0.03</v>
      </c>
      <c r="P84" s="145"/>
      <c r="Q84" s="144">
        <f>$N84</f>
        <v>0.03</v>
      </c>
      <c r="R84" s="145"/>
      <c r="S84" s="144">
        <f>$N84</f>
        <v>0.03</v>
      </c>
      <c r="T84" s="145"/>
      <c r="U84" s="144">
        <f>$N84</f>
        <v>0.03</v>
      </c>
      <c r="V84" s="145"/>
      <c r="W84" s="144">
        <f>$N84</f>
        <v>0.03</v>
      </c>
      <c r="X84" s="145"/>
      <c r="Y84" s="144">
        <f>$N84</f>
        <v>0.03</v>
      </c>
      <c r="Z84" s="145"/>
      <c r="AA84" s="144">
        <f>$N84</f>
        <v>0.03</v>
      </c>
      <c r="AB84" s="145"/>
      <c r="AC84" s="144">
        <f>$N84</f>
        <v>0.03</v>
      </c>
      <c r="AD84" s="145"/>
      <c r="AE84" s="144">
        <f>$N84</f>
        <v>0.03</v>
      </c>
      <c r="AF84" s="145"/>
      <c r="AG84" s="144">
        <f>$N84</f>
        <v>0.03</v>
      </c>
      <c r="AH84" s="145"/>
      <c r="AI84" s="144">
        <f>$N84</f>
        <v>0.03</v>
      </c>
      <c r="AJ84" s="146"/>
      <c r="AK84" s="7"/>
    </row>
    <row r="85" spans="1:37" ht="15.75" hidden="1" outlineLevel="1" thickBot="1" x14ac:dyDescent="0.3">
      <c r="A85" s="7"/>
      <c r="B85" s="115"/>
      <c r="C85" s="128"/>
      <c r="D85" s="129"/>
      <c r="E85" s="128"/>
      <c r="F85" s="129"/>
      <c r="G85" s="128"/>
      <c r="H85" s="129"/>
      <c r="I85" s="128"/>
      <c r="J85" s="131"/>
      <c r="K85" s="132"/>
      <c r="L85" s="129"/>
      <c r="M85" s="147" t="s">
        <v>37</v>
      </c>
      <c r="N85" s="148" t="s">
        <v>28</v>
      </c>
      <c r="O85" s="149"/>
      <c r="P85" s="150"/>
      <c r="Q85" s="151">
        <v>0.02</v>
      </c>
      <c r="R85" s="152"/>
      <c r="S85" s="151">
        <v>0.02</v>
      </c>
      <c r="T85" s="152"/>
      <c r="U85" s="151">
        <v>0.02</v>
      </c>
      <c r="V85" s="152"/>
      <c r="W85" s="151">
        <v>0.02</v>
      </c>
      <c r="X85" s="152"/>
      <c r="Y85" s="151">
        <v>0.02</v>
      </c>
      <c r="Z85" s="152"/>
      <c r="AA85" s="151">
        <v>0.02</v>
      </c>
      <c r="AB85" s="152"/>
      <c r="AC85" s="151">
        <v>0.02</v>
      </c>
      <c r="AD85" s="152"/>
      <c r="AE85" s="151">
        <v>0.02</v>
      </c>
      <c r="AF85" s="152"/>
      <c r="AG85" s="151">
        <v>0.02</v>
      </c>
      <c r="AH85" s="152"/>
      <c r="AI85" s="151">
        <v>0.02</v>
      </c>
      <c r="AJ85" s="153"/>
      <c r="AK85" s="7"/>
    </row>
    <row r="86" spans="1:37" hidden="1" outlineLevel="1" x14ac:dyDescent="0.25">
      <c r="A86" s="7"/>
      <c r="B86" s="154"/>
      <c r="C86" s="155"/>
      <c r="D86" s="156"/>
      <c r="E86" s="155"/>
      <c r="F86" s="156"/>
      <c r="G86" s="155"/>
      <c r="H86" s="156"/>
      <c r="I86" s="155"/>
      <c r="J86" s="157"/>
      <c r="K86" s="132"/>
      <c r="L86" s="221"/>
      <c r="M86" s="222"/>
      <c r="N86" s="222"/>
      <c r="O86" s="161"/>
      <c r="P86" s="162"/>
      <c r="Q86" s="163"/>
      <c r="R86" s="162"/>
      <c r="S86" s="163"/>
      <c r="T86" s="162"/>
      <c r="U86" s="163"/>
      <c r="V86" s="162"/>
      <c r="W86" s="163"/>
      <c r="X86" s="162"/>
      <c r="Y86" s="163"/>
      <c r="Z86" s="162"/>
      <c r="AA86" s="163"/>
      <c r="AB86" s="162"/>
      <c r="AC86" s="163"/>
      <c r="AD86" s="162"/>
      <c r="AE86" s="163"/>
      <c r="AF86" s="162"/>
      <c r="AG86" s="163"/>
      <c r="AH86" s="162"/>
      <c r="AI86" s="163"/>
      <c r="AJ86" s="164"/>
      <c r="AK86" s="7"/>
    </row>
    <row r="87" spans="1:37" collapsed="1" x14ac:dyDescent="0.25">
      <c r="A87" s="7"/>
      <c r="B87" s="115" t="s">
        <v>42</v>
      </c>
      <c r="C87" s="223">
        <f>SUM(C57:C81)</f>
        <v>486083.39439999999</v>
      </c>
      <c r="D87" s="224">
        <f>C87/C$49</f>
        <v>0.26593974482546245</v>
      </c>
      <c r="E87" s="223">
        <f>SUM(E57:E81)</f>
        <v>640333.33000000007</v>
      </c>
      <c r="F87" s="224">
        <f>E87/E$49</f>
        <v>0.29284171845887286</v>
      </c>
      <c r="G87" s="223">
        <f>SUM(G57:G81)</f>
        <v>807781.76</v>
      </c>
      <c r="H87" s="224">
        <f>G87/G$49</f>
        <v>0.35440845793340958</v>
      </c>
      <c r="I87" s="223">
        <f>SUM(I57:I81)</f>
        <v>815114.0065314722</v>
      </c>
      <c r="J87" s="225">
        <f>I87/I$49</f>
        <v>0.34043980614413005</v>
      </c>
      <c r="K87" s="119"/>
      <c r="L87" s="120"/>
      <c r="M87" s="120"/>
      <c r="N87" s="120"/>
      <c r="O87" s="125">
        <f>+O81+O75+O69+O63+O57</f>
        <v>813145.1515915076</v>
      </c>
      <c r="P87" s="122">
        <f t="shared" si="24"/>
        <v>0.35700686517258023</v>
      </c>
      <c r="Q87" s="125">
        <f>+Q81+Q75+Q69+Q63+Q57</f>
        <v>831330.82783286134</v>
      </c>
      <c r="R87" s="122">
        <f t="shared" si="25"/>
        <v>0.34976679374926012</v>
      </c>
      <c r="S87" s="125">
        <f>+S81+S75+S69+S63+S57</f>
        <v>852272.02728784725</v>
      </c>
      <c r="T87" s="122">
        <f t="shared" si="26"/>
        <v>0.34266316089864451</v>
      </c>
      <c r="U87" s="125">
        <f>+U81+U75+U69+U63+U57</f>
        <v>873761.48821888282</v>
      </c>
      <c r="V87" s="122">
        <f t="shared" si="27"/>
        <v>0.34107104855886144</v>
      </c>
      <c r="W87" s="125">
        <f>+W81+W75+W69+W63+W57</f>
        <v>898268.34407319338</v>
      </c>
      <c r="X87" s="122">
        <f t="shared" ref="X87:X90" si="79">W87/W$49</f>
        <v>0.33949439362043521</v>
      </c>
      <c r="Y87" s="125">
        <f>+Y81+Y75+Y69+Y63+Y57</f>
        <v>918445.00138644106</v>
      </c>
      <c r="Z87" s="122">
        <f t="shared" ref="Z87:Z90" si="80">Y87/Y$49</f>
        <v>0.33793304601150848</v>
      </c>
      <c r="AA87" s="125">
        <f>+AA81+AA75+AA69+AA63+AA57</f>
        <v>941670.00247771433</v>
      </c>
      <c r="AB87" s="122">
        <f t="shared" ref="AB87:AB90" si="81">AA87/AA$49</f>
        <v>0.33638685711723143</v>
      </c>
      <c r="AC87" s="125">
        <f>+AC81+AC75+AC69+AC63+AC57</f>
        <v>965505.18662271905</v>
      </c>
      <c r="AD87" s="122">
        <f t="shared" ref="AD87:AD90" si="82">AC87/AC$49</f>
        <v>0.3348556797656172</v>
      </c>
      <c r="AE87" s="125">
        <f>+AE81+AE75+AE69+AE63+AE57</f>
        <v>992679.36668026401</v>
      </c>
      <c r="AF87" s="122">
        <f t="shared" ref="AF87:AF90" si="83">AE87/AE$49</f>
        <v>0.33333936821353322</v>
      </c>
      <c r="AG87" s="125">
        <f>+AG81+AG75+AG69+AG63+AG57</f>
        <v>1015072.8632798207</v>
      </c>
      <c r="AH87" s="122">
        <f t="shared" ref="AH87:AH90" si="84">AG87/AG$49</f>
        <v>0.33183777813282878</v>
      </c>
      <c r="AI87" s="125">
        <f>+AI81+AI75+AI69+AI63+AI57</f>
        <v>1040839.9050746864</v>
      </c>
      <c r="AJ87" s="123">
        <f t="shared" ref="AJ87:AJ90" si="85">AI87/AI$49</f>
        <v>0.33035076659659718</v>
      </c>
      <c r="AK87" s="7"/>
    </row>
    <row r="88" spans="1:37" x14ac:dyDescent="0.25">
      <c r="A88" s="7"/>
      <c r="B88" s="206" t="s">
        <v>43</v>
      </c>
      <c r="C88" s="207">
        <f>C55-C87</f>
        <v>814171.88560000004</v>
      </c>
      <c r="D88" s="208">
        <f>C88/C$49</f>
        <v>0.44543933406281699</v>
      </c>
      <c r="E88" s="207">
        <f>E55-E87</f>
        <v>828494.69999999972</v>
      </c>
      <c r="F88" s="208">
        <f>E88/E$49</f>
        <v>0.37889299262630638</v>
      </c>
      <c r="G88" s="207">
        <f>G55-G87</f>
        <v>722183.74999999977</v>
      </c>
      <c r="H88" s="208">
        <f>G88/G$49</f>
        <v>0.31685294451569063</v>
      </c>
      <c r="I88" s="207">
        <f>I55-I87</f>
        <v>809222.9934685278</v>
      </c>
      <c r="J88" s="209">
        <f>I88/I$49</f>
        <v>0.33797937075831769</v>
      </c>
      <c r="K88" s="226"/>
      <c r="L88" s="227"/>
      <c r="M88" s="227"/>
      <c r="N88" s="228"/>
      <c r="O88" s="212">
        <f>O55-O87</f>
        <v>783010.06848344009</v>
      </c>
      <c r="P88" s="213">
        <f t="shared" si="24"/>
        <v>0.34377622420882403</v>
      </c>
      <c r="Q88" s="212">
        <f>Q55-Q87</f>
        <v>875261.9246493252</v>
      </c>
      <c r="R88" s="213">
        <f t="shared" si="25"/>
        <v>0.36824997561253653</v>
      </c>
      <c r="S88" s="212">
        <f>S55-S87</f>
        <v>948503.80480035918</v>
      </c>
      <c r="T88" s="213">
        <f t="shared" si="26"/>
        <v>0.38135395914796383</v>
      </c>
      <c r="U88" s="212">
        <f>U55-U87</f>
        <v>981037.6188319691</v>
      </c>
      <c r="V88" s="213">
        <f t="shared" si="27"/>
        <v>0.38294607148774679</v>
      </c>
      <c r="W88" s="212">
        <f>W55-W87</f>
        <v>1018074.2512566659</v>
      </c>
      <c r="X88" s="213">
        <f t="shared" si="79"/>
        <v>0.38477421905318465</v>
      </c>
      <c r="Y88" s="212">
        <f>Y55-Y87</f>
        <v>1049310.1297886309</v>
      </c>
      <c r="Z88" s="213">
        <f t="shared" si="80"/>
        <v>0.38608361723883428</v>
      </c>
      <c r="AA88" s="212">
        <f>AA55-AA87</f>
        <v>1085117.7826326103</v>
      </c>
      <c r="AB88" s="213">
        <f t="shared" si="81"/>
        <v>0.38762980613311132</v>
      </c>
      <c r="AC88" s="212">
        <f>AC55-AC87</f>
        <v>1122086.2320409156</v>
      </c>
      <c r="AD88" s="213">
        <f t="shared" si="82"/>
        <v>0.38916098348472561</v>
      </c>
      <c r="AE88" s="212">
        <f>AE55-AE87</f>
        <v>1164179.7482562438</v>
      </c>
      <c r="AF88" s="213">
        <f t="shared" si="83"/>
        <v>0.39092878808240655</v>
      </c>
      <c r="AG88" s="212">
        <f>AG55-AG87</f>
        <v>1199651.4754643503</v>
      </c>
      <c r="AH88" s="213">
        <f t="shared" si="84"/>
        <v>0.3921784283204901</v>
      </c>
      <c r="AI88" s="212">
        <f>AI55-AI87</f>
        <v>1240326.1638318095</v>
      </c>
      <c r="AJ88" s="214">
        <f t="shared" si="85"/>
        <v>0.3936654398567217</v>
      </c>
      <c r="AK88" s="7"/>
    </row>
    <row r="89" spans="1:37" x14ac:dyDescent="0.25">
      <c r="A89" s="7"/>
      <c r="B89" s="229" t="s">
        <v>44</v>
      </c>
      <c r="C89" s="230">
        <f>C49*0.03</f>
        <v>54833.856599999999</v>
      </c>
      <c r="D89" s="117">
        <f>C89/C$49</f>
        <v>0.03</v>
      </c>
      <c r="E89" s="230">
        <f>E49*0.03</f>
        <v>65598.576599999986</v>
      </c>
      <c r="F89" s="117">
        <f>E89/E$49</f>
        <v>2.9999999999999995E-2</v>
      </c>
      <c r="G89" s="230">
        <f>G49*0.03</f>
        <v>68377.185299999997</v>
      </c>
      <c r="H89" s="117">
        <f>G89/G$49</f>
        <v>3.0000000000000002E-2</v>
      </c>
      <c r="I89" s="230">
        <f>I49*0.03</f>
        <v>71828.91</v>
      </c>
      <c r="J89" s="118">
        <f>I89/I$49</f>
        <v>3.0000000000000002E-2</v>
      </c>
      <c r="K89" s="119"/>
      <c r="L89" s="120"/>
      <c r="N89" s="231">
        <v>0.03</v>
      </c>
      <c r="O89" s="232">
        <f>$N$89*O$49</f>
        <v>68330.211341882125</v>
      </c>
      <c r="P89" s="122">
        <f t="shared" si="24"/>
        <v>2.9999999999999995E-2</v>
      </c>
      <c r="Q89" s="233">
        <f>$N$89*Q$49</f>
        <v>71304.438502142963</v>
      </c>
      <c r="R89" s="122">
        <f t="shared" si="25"/>
        <v>3.0000000000000002E-2</v>
      </c>
      <c r="S89" s="233">
        <f>$N$89*S$49</f>
        <v>74616.018691890131</v>
      </c>
      <c r="T89" s="122">
        <f t="shared" si="26"/>
        <v>0.03</v>
      </c>
      <c r="U89" s="233">
        <f>$N$89*U$49</f>
        <v>76854.499252646812</v>
      </c>
      <c r="V89" s="122">
        <f t="shared" si="27"/>
        <v>2.9999999999999995E-2</v>
      </c>
      <c r="W89" s="233">
        <f>$N$89*W$49</f>
        <v>79377.011310309055</v>
      </c>
      <c r="X89" s="122">
        <f t="shared" si="79"/>
        <v>2.9999999999999995E-2</v>
      </c>
      <c r="Y89" s="233">
        <f>$N$89*Y$49</f>
        <v>81534.938257133006</v>
      </c>
      <c r="Z89" s="122">
        <f t="shared" si="80"/>
        <v>0.03</v>
      </c>
      <c r="AA89" s="233">
        <f>$N$89*AA$49</f>
        <v>83980.986404847019</v>
      </c>
      <c r="AB89" s="122">
        <f t="shared" si="81"/>
        <v>0.03</v>
      </c>
      <c r="AC89" s="233">
        <f>$N$89*AC$49</f>
        <v>86500.415996992437</v>
      </c>
      <c r="AD89" s="122">
        <f t="shared" si="82"/>
        <v>0.03</v>
      </c>
      <c r="AE89" s="233">
        <f>$N$89*AE$49</f>
        <v>89339.52554122248</v>
      </c>
      <c r="AF89" s="122">
        <f t="shared" si="83"/>
        <v>0.03</v>
      </c>
      <c r="AG89" s="233">
        <f>$N$89*AG$49</f>
        <v>91768.291331209271</v>
      </c>
      <c r="AH89" s="122">
        <f t="shared" si="84"/>
        <v>0.03</v>
      </c>
      <c r="AI89" s="233">
        <f>$N$89*AI$49</f>
        <v>94521.340071145532</v>
      </c>
      <c r="AJ89" s="123">
        <f t="shared" si="85"/>
        <v>2.9999999999999995E-2</v>
      </c>
      <c r="AK89" s="7"/>
    </row>
    <row r="90" spans="1:37" x14ac:dyDescent="0.25">
      <c r="A90" s="7"/>
      <c r="B90" s="206" t="s">
        <v>45</v>
      </c>
      <c r="C90" s="207">
        <f>C88-C89</f>
        <v>759338.0290000001</v>
      </c>
      <c r="D90" s="208">
        <f>C90/C$49</f>
        <v>0.41543933406281702</v>
      </c>
      <c r="E90" s="207">
        <f>E88-E89</f>
        <v>762896.12339999969</v>
      </c>
      <c r="F90" s="208">
        <f>E90/E$49</f>
        <v>0.34889299262630635</v>
      </c>
      <c r="G90" s="207">
        <f>G88-G89</f>
        <v>653806.56469999976</v>
      </c>
      <c r="H90" s="208">
        <f>G90/G$49</f>
        <v>0.2868529445156906</v>
      </c>
      <c r="I90" s="207">
        <f>I88-I89</f>
        <v>737394.08346852777</v>
      </c>
      <c r="J90" s="209">
        <f>I90/I$49</f>
        <v>0.30797937075831766</v>
      </c>
      <c r="K90" s="226"/>
      <c r="L90" s="227"/>
      <c r="M90" s="227"/>
      <c r="N90" s="234"/>
      <c r="O90" s="212">
        <f>O88-O89</f>
        <v>714679.85714155796</v>
      </c>
      <c r="P90" s="213">
        <f t="shared" si="24"/>
        <v>0.31377622420882401</v>
      </c>
      <c r="Q90" s="212">
        <f>Q88-Q89</f>
        <v>803957.4861471823</v>
      </c>
      <c r="R90" s="213">
        <f t="shared" si="25"/>
        <v>0.33824997561253656</v>
      </c>
      <c r="S90" s="212">
        <f>S88-S89</f>
        <v>873887.78610846901</v>
      </c>
      <c r="T90" s="213">
        <f t="shared" si="26"/>
        <v>0.3513539591479638</v>
      </c>
      <c r="U90" s="212">
        <f>U88-U89</f>
        <v>904183.11957932229</v>
      </c>
      <c r="V90" s="213">
        <f t="shared" si="27"/>
        <v>0.35294607148774682</v>
      </c>
      <c r="W90" s="212">
        <f>W88-W89</f>
        <v>938697.23994635686</v>
      </c>
      <c r="X90" s="213">
        <f t="shared" si="79"/>
        <v>0.35477421905318468</v>
      </c>
      <c r="Y90" s="212">
        <f>Y88-Y89</f>
        <v>967775.19153149787</v>
      </c>
      <c r="Z90" s="213">
        <f t="shared" si="80"/>
        <v>0.35608361723883425</v>
      </c>
      <c r="AA90" s="212">
        <f>AA88-AA89</f>
        <v>1001136.7962277633</v>
      </c>
      <c r="AB90" s="213">
        <f t="shared" si="81"/>
        <v>0.35762980613311135</v>
      </c>
      <c r="AC90" s="212">
        <f>AC88-AC89</f>
        <v>1035585.8160439231</v>
      </c>
      <c r="AD90" s="213">
        <f t="shared" si="82"/>
        <v>0.35916098348472558</v>
      </c>
      <c r="AE90" s="212">
        <f>AE88-AE89</f>
        <v>1074840.2227150213</v>
      </c>
      <c r="AF90" s="213">
        <f t="shared" si="83"/>
        <v>0.36092878808240658</v>
      </c>
      <c r="AG90" s="212">
        <f>AG88-AG89</f>
        <v>1107883.1841331411</v>
      </c>
      <c r="AH90" s="213">
        <f t="shared" si="84"/>
        <v>0.36217842832049008</v>
      </c>
      <c r="AI90" s="212">
        <f>AI88-AI89</f>
        <v>1145804.8237606641</v>
      </c>
      <c r="AJ90" s="214">
        <f t="shared" si="85"/>
        <v>0.36366543985672173</v>
      </c>
      <c r="AK90" s="7"/>
    </row>
    <row r="91" spans="1:37" x14ac:dyDescent="0.25">
      <c r="A91" s="7"/>
      <c r="B91" s="186" t="s">
        <v>46</v>
      </c>
      <c r="C91" s="235"/>
      <c r="D91" s="188"/>
      <c r="E91" s="235"/>
      <c r="F91" s="188"/>
      <c r="G91" s="235"/>
      <c r="H91" s="188"/>
      <c r="I91" s="235"/>
      <c r="J91" s="189"/>
      <c r="K91" s="109"/>
      <c r="L91" s="227"/>
      <c r="M91" s="227"/>
      <c r="N91" s="227"/>
      <c r="O91" s="236"/>
      <c r="P91" s="192"/>
      <c r="Q91" s="236"/>
      <c r="R91" s="192"/>
      <c r="S91" s="236"/>
      <c r="T91" s="192"/>
      <c r="U91" s="236"/>
      <c r="V91" s="192"/>
      <c r="W91" s="236"/>
      <c r="X91" s="192"/>
      <c r="Y91" s="236"/>
      <c r="Z91" s="192"/>
      <c r="AA91" s="236"/>
      <c r="AB91" s="192"/>
      <c r="AC91" s="236"/>
      <c r="AD91" s="192"/>
      <c r="AE91" s="236"/>
      <c r="AF91" s="192"/>
      <c r="AG91" s="236"/>
      <c r="AH91" s="192"/>
      <c r="AI91" s="236"/>
      <c r="AJ91" s="193"/>
      <c r="AK91" s="7"/>
    </row>
    <row r="92" spans="1:37" x14ac:dyDescent="0.25">
      <c r="A92" s="7"/>
      <c r="B92" s="194" t="s">
        <v>47</v>
      </c>
      <c r="C92" s="124">
        <v>49048.14</v>
      </c>
      <c r="D92" s="117">
        <f t="shared" ref="D92:D97" si="86">C92/C$49</f>
        <v>2.6834592553535621E-2</v>
      </c>
      <c r="E92" s="124">
        <v>110727.59</v>
      </c>
      <c r="F92" s="117">
        <f t="shared" ref="F92:F97" si="87">E92/E$49</f>
        <v>5.0638716145557344E-2</v>
      </c>
      <c r="G92" s="124">
        <v>98990.83</v>
      </c>
      <c r="H92" s="117">
        <f t="shared" ref="H92:H97" si="88">G92/G$49</f>
        <v>4.3431517208123514E-2</v>
      </c>
      <c r="I92" s="124">
        <v>100782</v>
      </c>
      <c r="J92" s="118">
        <f t="shared" ref="J92:J97" si="89">I92/I$49</f>
        <v>4.2092522356249037E-2</v>
      </c>
      <c r="K92" s="119"/>
      <c r="L92" s="120"/>
      <c r="M92" s="120"/>
      <c r="N92" s="120"/>
      <c r="O92" s="237">
        <v>50000</v>
      </c>
      <c r="P92" s="122">
        <f>O92/O$49</f>
        <v>2.1952222458305116E-2</v>
      </c>
      <c r="Q92" s="237">
        <f>+O92*1.02</f>
        <v>51000</v>
      </c>
      <c r="R92" s="122">
        <f>Q92/Q$49</f>
        <v>2.1457289786441805E-2</v>
      </c>
      <c r="S92" s="237">
        <f>+Q92*1.02</f>
        <v>52020</v>
      </c>
      <c r="T92" s="122">
        <f>S92/S$49</f>
        <v>2.0915079997019706E-2</v>
      </c>
      <c r="U92" s="237">
        <f>+S92*1.02</f>
        <v>53060.4</v>
      </c>
      <c r="V92" s="122">
        <f>U92/U$49</f>
        <v>2.0712020967922434E-2</v>
      </c>
      <c r="W92" s="237">
        <f>+U92*1.02</f>
        <v>54121.608</v>
      </c>
      <c r="X92" s="122">
        <f>W92/W$49</f>
        <v>2.0454892584109288E-2</v>
      </c>
      <c r="Y92" s="237">
        <f>+W92*1.02</f>
        <v>55204.040160000004</v>
      </c>
      <c r="Z92" s="122">
        <f>Y92/Y$49</f>
        <v>2.0311798110120183E-2</v>
      </c>
      <c r="AA92" s="237">
        <f>+Y92*1.02</f>
        <v>56308.120963200003</v>
      </c>
      <c r="AB92" s="122">
        <f>AA92/AA$49</f>
        <v>2.0114596186720953E-2</v>
      </c>
      <c r="AC92" s="237">
        <f>+AA92*1.02</f>
        <v>57434.283382464004</v>
      </c>
      <c r="AD92" s="122">
        <f>AC92/AC$49</f>
        <v>1.9919308845102301E-2</v>
      </c>
      <c r="AE92" s="237">
        <f>+AC92*1.02</f>
        <v>58582.969050113286</v>
      </c>
      <c r="AF92" s="122">
        <f>AE92/AE$49</f>
        <v>1.9672021547645996E-2</v>
      </c>
      <c r="AG92" s="237">
        <f>+AE92*1.02</f>
        <v>59754.628431115554</v>
      </c>
      <c r="AH92" s="122">
        <f>AG92/AG$49</f>
        <v>1.9534403734983916E-2</v>
      </c>
      <c r="AI92" s="237">
        <f>+AG92*1.02</f>
        <v>60949.720999737867</v>
      </c>
      <c r="AJ92" s="123">
        <f>AI92/AI$49</f>
        <v>1.9344749329789902E-2</v>
      </c>
      <c r="AK92" s="7"/>
    </row>
    <row r="93" spans="1:37" x14ac:dyDescent="0.25">
      <c r="A93" s="7"/>
      <c r="B93" s="194" t="s">
        <v>48</v>
      </c>
      <c r="C93" s="124">
        <v>12180</v>
      </c>
      <c r="D93" s="117">
        <f t="shared" si="86"/>
        <v>6.6637661958652023E-3</v>
      </c>
      <c r="E93" s="124">
        <v>25456.65</v>
      </c>
      <c r="F93" s="117">
        <f t="shared" si="87"/>
        <v>1.1642013281123544E-2</v>
      </c>
      <c r="G93" s="124">
        <v>20016</v>
      </c>
      <c r="H93" s="117">
        <f t="shared" si="88"/>
        <v>8.7818765479368167E-3</v>
      </c>
      <c r="I93" s="124">
        <v>22482</v>
      </c>
      <c r="J93" s="118">
        <f t="shared" si="89"/>
        <v>9.3898125420530543E-3</v>
      </c>
      <c r="K93" s="119"/>
      <c r="L93" s="120"/>
      <c r="M93" s="120"/>
      <c r="N93" s="120"/>
      <c r="O93" s="237">
        <v>25000</v>
      </c>
      <c r="P93" s="122">
        <f>O93/O$49</f>
        <v>1.0976111229152558E-2</v>
      </c>
      <c r="Q93" s="237">
        <f>+O93*1.02</f>
        <v>25500</v>
      </c>
      <c r="R93" s="122">
        <f>Q93/Q$49</f>
        <v>1.0728644893220902E-2</v>
      </c>
      <c r="S93" s="237">
        <f>+Q93*1.02</f>
        <v>26010</v>
      </c>
      <c r="T93" s="122">
        <f>S93/S$49</f>
        <v>1.0457539998509853E-2</v>
      </c>
      <c r="U93" s="237">
        <f>+S93*1.02</f>
        <v>26530.2</v>
      </c>
      <c r="V93" s="122">
        <f>U93/U$49</f>
        <v>1.0356010483961217E-2</v>
      </c>
      <c r="W93" s="237">
        <f>+U93*1.02</f>
        <v>27060.804</v>
      </c>
      <c r="X93" s="122">
        <f>W93/W$49</f>
        <v>1.0227446292054644E-2</v>
      </c>
      <c r="Y93" s="237">
        <f>+W93*1.02</f>
        <v>27602.020080000002</v>
      </c>
      <c r="Z93" s="122">
        <f>Y93/Y$49</f>
        <v>1.0155899055060091E-2</v>
      </c>
      <c r="AA93" s="237">
        <f>+Y93*1.02</f>
        <v>28154.060481600001</v>
      </c>
      <c r="AB93" s="122">
        <f>AA93/AA$49</f>
        <v>1.0057298093360477E-2</v>
      </c>
      <c r="AC93" s="237">
        <f>+AA93*1.02</f>
        <v>28717.141691232002</v>
      </c>
      <c r="AD93" s="122">
        <f>AC93/AC$49</f>
        <v>9.9596544225511504E-3</v>
      </c>
      <c r="AE93" s="237">
        <f>+AC93*1.02</f>
        <v>29291.484525056643</v>
      </c>
      <c r="AF93" s="122">
        <f>AE93/AE$49</f>
        <v>9.8360107738229979E-3</v>
      </c>
      <c r="AG93" s="237">
        <f>+AE93*1.02</f>
        <v>29877.314215557777</v>
      </c>
      <c r="AH93" s="122">
        <f>AG93/AG$49</f>
        <v>9.7672018674919581E-3</v>
      </c>
      <c r="AI93" s="237">
        <f>+AG93*1.02</f>
        <v>30474.860499868933</v>
      </c>
      <c r="AJ93" s="123">
        <f>AI93/AI$49</f>
        <v>9.6723746648949508E-3</v>
      </c>
      <c r="AK93" s="7"/>
    </row>
    <row r="94" spans="1:37" x14ac:dyDescent="0.25">
      <c r="A94" s="7"/>
      <c r="B94" s="197" t="s">
        <v>49</v>
      </c>
      <c r="C94" s="168">
        <v>1000</v>
      </c>
      <c r="D94" s="169">
        <f t="shared" si="86"/>
        <v>5.47107241039836E-4</v>
      </c>
      <c r="E94" s="168">
        <v>1234</v>
      </c>
      <c r="F94" s="169">
        <f t="shared" si="87"/>
        <v>5.6434151347119329E-4</v>
      </c>
      <c r="G94" s="168">
        <v>1324</v>
      </c>
      <c r="H94" s="169">
        <f t="shared" si="88"/>
        <v>5.8089551106456567E-4</v>
      </c>
      <c r="I94" s="168">
        <v>1432</v>
      </c>
      <c r="J94" s="170">
        <f t="shared" si="89"/>
        <v>5.9808787297482304E-4</v>
      </c>
      <c r="K94" s="171"/>
      <c r="L94" s="172"/>
      <c r="M94" s="172"/>
      <c r="N94" s="172"/>
      <c r="O94" s="238">
        <v>1234</v>
      </c>
      <c r="P94" s="202">
        <f>O94/O$49</f>
        <v>5.4178085027097034E-4</v>
      </c>
      <c r="Q94" s="238">
        <v>1435</v>
      </c>
      <c r="R94" s="202">
        <f>Q94/Q$49</f>
        <v>6.0374923222635273E-4</v>
      </c>
      <c r="S94" s="238">
        <v>2123</v>
      </c>
      <c r="T94" s="202">
        <f>S94/S$49</f>
        <v>8.5357006600678272E-4</v>
      </c>
      <c r="U94" s="238">
        <v>2321</v>
      </c>
      <c r="V94" s="202">
        <f>U94/U$49</f>
        <v>9.059977057569858E-4</v>
      </c>
      <c r="W94" s="238">
        <v>2321</v>
      </c>
      <c r="X94" s="202">
        <f>W94/W$49</f>
        <v>8.7720611863043052E-4</v>
      </c>
      <c r="Y94" s="238">
        <v>2321</v>
      </c>
      <c r="Z94" s="202">
        <f>Y94/Y$49</f>
        <v>8.5398973113110172E-4</v>
      </c>
      <c r="AA94" s="238">
        <v>2321</v>
      </c>
      <c r="AB94" s="202">
        <f>AA94/AA$49</f>
        <v>8.2911624381660348E-4</v>
      </c>
      <c r="AC94" s="238">
        <v>2321</v>
      </c>
      <c r="AD94" s="202">
        <f>AC94/AC$49</f>
        <v>8.0496722700641103E-4</v>
      </c>
      <c r="AE94" s="238">
        <v>2321</v>
      </c>
      <c r="AF94" s="202">
        <f>AE94/AE$49</f>
        <v>7.793862747555309E-4</v>
      </c>
      <c r="AG94" s="238">
        <v>2321</v>
      </c>
      <c r="AH94" s="202">
        <f>AG94/AG$49</f>
        <v>7.5875881516298518E-4</v>
      </c>
      <c r="AI94" s="238">
        <v>2321</v>
      </c>
      <c r="AJ94" s="204">
        <f>AI94/AI$49</f>
        <v>7.3665904384755858E-4</v>
      </c>
      <c r="AK94" s="7"/>
    </row>
    <row r="95" spans="1:37" x14ac:dyDescent="0.25">
      <c r="A95" s="7"/>
      <c r="B95" s="239" t="s">
        <v>50</v>
      </c>
      <c r="C95" s="180">
        <f>SUM(C92:C94)</f>
        <v>62228.14</v>
      </c>
      <c r="D95" s="224">
        <f t="shared" si="86"/>
        <v>3.4045465990440657E-2</v>
      </c>
      <c r="E95" s="180">
        <f>SUM(E92:E94)</f>
        <v>137418.23999999999</v>
      </c>
      <c r="F95" s="224">
        <f t="shared" si="87"/>
        <v>6.2845070940152084E-2</v>
      </c>
      <c r="G95" s="180">
        <f>SUM(G92:G94)</f>
        <v>120330.83</v>
      </c>
      <c r="H95" s="224">
        <f t="shared" si="88"/>
        <v>5.27942892671249E-2</v>
      </c>
      <c r="I95" s="180">
        <f>SUM(I92:I94)</f>
        <v>124696</v>
      </c>
      <c r="J95" s="225">
        <f t="shared" si="89"/>
        <v>5.2080422771276912E-2</v>
      </c>
      <c r="K95" s="119"/>
      <c r="L95" s="120"/>
      <c r="M95" s="120"/>
      <c r="N95" s="120"/>
      <c r="O95" s="125">
        <f>SUM(O92:O94)</f>
        <v>76234</v>
      </c>
      <c r="P95" s="240">
        <f>O95/O$49</f>
        <v>3.3470114537728649E-2</v>
      </c>
      <c r="Q95" s="125">
        <f>SUM(Q92:Q94)</f>
        <v>77935</v>
      </c>
      <c r="R95" s="240">
        <f>Q95/Q$49</f>
        <v>3.2789683911889064E-2</v>
      </c>
      <c r="S95" s="125">
        <f>SUM(S92:S94)</f>
        <v>80153</v>
      </c>
      <c r="T95" s="240">
        <f>S95/S$49</f>
        <v>3.2226190061536347E-2</v>
      </c>
      <c r="U95" s="125">
        <f>SUM(U92:U94)</f>
        <v>81911.600000000006</v>
      </c>
      <c r="V95" s="240">
        <f>U95/U$49</f>
        <v>3.1974029157640638E-2</v>
      </c>
      <c r="W95" s="125">
        <f>SUM(W92:W94)</f>
        <v>83503.411999999997</v>
      </c>
      <c r="X95" s="240">
        <f>W95/W$49</f>
        <v>3.155954499479436E-2</v>
      </c>
      <c r="Y95" s="125">
        <f>SUM(Y92:Y94)</f>
        <v>85127.060240000006</v>
      </c>
      <c r="Z95" s="240">
        <f>Y95/Y$49</f>
        <v>3.1321686896311374E-2</v>
      </c>
      <c r="AA95" s="125">
        <f>SUM(AA92:AA94)</f>
        <v>86783.181444800008</v>
      </c>
      <c r="AB95" s="240">
        <f>AA95/AA$49</f>
        <v>3.1001010523898035E-2</v>
      </c>
      <c r="AC95" s="125">
        <f>SUM(AC92:AC94)</f>
        <v>88472.425073696009</v>
      </c>
      <c r="AD95" s="240">
        <f>AC95/AC$49</f>
        <v>3.0683930494659863E-2</v>
      </c>
      <c r="AE95" s="125">
        <f>SUM(AE92:AE94)</f>
        <v>90195.45357516993</v>
      </c>
      <c r="AF95" s="240">
        <f>AE95/AE$49</f>
        <v>3.0287418596224525E-2</v>
      </c>
      <c r="AG95" s="125">
        <f>SUM(AG92:AG94)</f>
        <v>91952.942646673328</v>
      </c>
      <c r="AH95" s="240">
        <f>AG95/AG$49</f>
        <v>3.0060364417638857E-2</v>
      </c>
      <c r="AI95" s="125">
        <f>SUM(AI92:AI94)</f>
        <v>93745.581499606807</v>
      </c>
      <c r="AJ95" s="241">
        <f>AI95/AI$49</f>
        <v>2.9753783038532412E-2</v>
      </c>
      <c r="AK95" s="7"/>
    </row>
    <row r="96" spans="1:37" x14ac:dyDescent="0.25">
      <c r="A96" s="7"/>
      <c r="B96" s="242" t="s">
        <v>51</v>
      </c>
      <c r="C96" s="243">
        <f>C90-C95</f>
        <v>697109.88900000008</v>
      </c>
      <c r="D96" s="244">
        <f t="shared" si="86"/>
        <v>0.38139386807237635</v>
      </c>
      <c r="E96" s="207">
        <f>E90-E95</f>
        <v>625477.8833999997</v>
      </c>
      <c r="F96" s="208">
        <f t="shared" si="87"/>
        <v>0.28604792168615428</v>
      </c>
      <c r="G96" s="207">
        <f>G90-G95</f>
        <v>533475.7346999998</v>
      </c>
      <c r="H96" s="208">
        <f t="shared" si="88"/>
        <v>0.23405865524856573</v>
      </c>
      <c r="I96" s="207">
        <f>I90-I95</f>
        <v>612698.08346852777</v>
      </c>
      <c r="J96" s="209">
        <f t="shared" si="89"/>
        <v>0.25589894798704077</v>
      </c>
      <c r="K96" s="226"/>
      <c r="L96" s="227"/>
      <c r="M96" s="227"/>
      <c r="N96" s="227"/>
      <c r="O96" s="245">
        <f>O90-O95</f>
        <v>638445.85714155796</v>
      </c>
      <c r="P96" s="246">
        <f>O96/O$49</f>
        <v>0.28030610967109537</v>
      </c>
      <c r="Q96" s="212">
        <f>Q90-Q95</f>
        <v>726022.4861471823</v>
      </c>
      <c r="R96" s="213">
        <f>Q96/Q$49</f>
        <v>0.30546029170064748</v>
      </c>
      <c r="S96" s="212">
        <f>S90-S95</f>
        <v>793734.78610846901</v>
      </c>
      <c r="T96" s="213">
        <f>S96/S$49</f>
        <v>0.31912776908642743</v>
      </c>
      <c r="U96" s="212">
        <f>U90-U95</f>
        <v>822271.51957932231</v>
      </c>
      <c r="V96" s="213">
        <f>U96/U$49</f>
        <v>0.32097204233010618</v>
      </c>
      <c r="W96" s="212">
        <f>W90-W95</f>
        <v>855193.82794635685</v>
      </c>
      <c r="X96" s="213">
        <f>W96/W$49</f>
        <v>0.32321467405839033</v>
      </c>
      <c r="Y96" s="212">
        <f>Y90-Y95</f>
        <v>882648.13129149785</v>
      </c>
      <c r="Z96" s="213">
        <f>Y96/Y$49</f>
        <v>0.32476193034252288</v>
      </c>
      <c r="AA96" s="212">
        <f>AA90-AA95</f>
        <v>914353.6147829633</v>
      </c>
      <c r="AB96" s="213">
        <f>AA96/AA$49</f>
        <v>0.32662879560921332</v>
      </c>
      <c r="AC96" s="212">
        <f>AC90-AC95</f>
        <v>947113.39097022708</v>
      </c>
      <c r="AD96" s="213">
        <f>AC96/AC$49</f>
        <v>0.32847705299006569</v>
      </c>
      <c r="AE96" s="212">
        <f>AE90-AE95</f>
        <v>984644.76913985144</v>
      </c>
      <c r="AF96" s="213">
        <f>AE96/AE$49</f>
        <v>0.33064136948618206</v>
      </c>
      <c r="AG96" s="212">
        <f>AG90-AG95</f>
        <v>1015930.2414864678</v>
      </c>
      <c r="AH96" s="213">
        <f>AG96/AG$49</f>
        <v>0.33211806390285126</v>
      </c>
      <c r="AI96" s="212">
        <f>AI90-AI95</f>
        <v>1052059.2422610573</v>
      </c>
      <c r="AJ96" s="214">
        <f>AI96/AI$49</f>
        <v>0.33391165681818935</v>
      </c>
      <c r="AK96" s="7"/>
    </row>
    <row r="97" spans="1:37" x14ac:dyDescent="0.25">
      <c r="A97" s="7"/>
      <c r="B97" s="247" t="s">
        <v>52</v>
      </c>
      <c r="C97" s="248">
        <f>C49*0.04</f>
        <v>73111.808799999999</v>
      </c>
      <c r="D97" s="249">
        <f t="shared" si="86"/>
        <v>0.04</v>
      </c>
      <c r="E97" s="248"/>
      <c r="F97" s="249">
        <f t="shared" si="87"/>
        <v>0</v>
      </c>
      <c r="G97" s="248"/>
      <c r="H97" s="249">
        <f t="shared" si="88"/>
        <v>0</v>
      </c>
      <c r="I97" s="248"/>
      <c r="J97" s="250">
        <f t="shared" si="89"/>
        <v>0</v>
      </c>
      <c r="K97" s="119"/>
      <c r="L97" s="120"/>
      <c r="M97" s="120"/>
      <c r="N97" s="120"/>
      <c r="O97" s="251">
        <f>O49*P97</f>
        <v>45553.474227921426</v>
      </c>
      <c r="P97" s="252">
        <f>P98</f>
        <v>0.02</v>
      </c>
      <c r="Q97" s="251">
        <f>Q49*R97</f>
        <v>47536.292334761973</v>
      </c>
      <c r="R97" s="252">
        <f>R98</f>
        <v>0.02</v>
      </c>
      <c r="S97" s="251">
        <f>S49*T97</f>
        <v>74616.018691890131</v>
      </c>
      <c r="T97" s="252">
        <f>T98</f>
        <v>0.03</v>
      </c>
      <c r="U97" s="251">
        <f>U49*V97</f>
        <v>76854.499252646812</v>
      </c>
      <c r="V97" s="252">
        <f>V98</f>
        <v>0.03</v>
      </c>
      <c r="W97" s="251">
        <f>W49*X97</f>
        <v>79377.011310309055</v>
      </c>
      <c r="X97" s="252">
        <f>X98</f>
        <v>0.03</v>
      </c>
      <c r="Y97" s="251">
        <f>Y49*Z97</f>
        <v>81534.938257133006</v>
      </c>
      <c r="Z97" s="252">
        <f>Z98</f>
        <v>0.03</v>
      </c>
      <c r="AA97" s="251">
        <f>AA49*AB97</f>
        <v>83980.986404847019</v>
      </c>
      <c r="AB97" s="252">
        <f>AB98</f>
        <v>0.03</v>
      </c>
      <c r="AC97" s="251">
        <f>AC49*AD97</f>
        <v>86500.415996992437</v>
      </c>
      <c r="AD97" s="252">
        <f>AD98</f>
        <v>0.03</v>
      </c>
      <c r="AE97" s="251">
        <f>AE49*AF97</f>
        <v>89339.52554122248</v>
      </c>
      <c r="AF97" s="252">
        <f>AF98</f>
        <v>0.03</v>
      </c>
      <c r="AG97" s="251">
        <f>AG49*AH97</f>
        <v>91768.291331209271</v>
      </c>
      <c r="AH97" s="252">
        <f>AH98</f>
        <v>0.03</v>
      </c>
      <c r="AI97" s="251">
        <f>AI49*AJ97</f>
        <v>94521.340071145532</v>
      </c>
      <c r="AJ97" s="253">
        <f>AJ98</f>
        <v>0.03</v>
      </c>
      <c r="AK97" s="7"/>
    </row>
    <row r="98" spans="1:37" hidden="1" outlineLevel="1" x14ac:dyDescent="0.25">
      <c r="A98" s="7"/>
      <c r="B98" s="254"/>
      <c r="C98" s="155"/>
      <c r="D98" s="156"/>
      <c r="E98" s="155"/>
      <c r="F98" s="156"/>
      <c r="G98" s="155"/>
      <c r="H98" s="156"/>
      <c r="I98" s="155"/>
      <c r="J98" s="157"/>
      <c r="K98" s="132"/>
      <c r="L98" s="120"/>
      <c r="M98" s="120"/>
      <c r="N98" s="120"/>
      <c r="O98" s="237"/>
      <c r="P98" s="255">
        <v>0.02</v>
      </c>
      <c r="Q98" s="256"/>
      <c r="R98" s="257">
        <v>0.02</v>
      </c>
      <c r="S98" s="256"/>
      <c r="T98" s="257">
        <v>0.03</v>
      </c>
      <c r="U98" s="256"/>
      <c r="V98" s="257">
        <v>0.03</v>
      </c>
      <c r="W98" s="256"/>
      <c r="X98" s="257">
        <v>0.03</v>
      </c>
      <c r="Y98" s="256"/>
      <c r="Z98" s="257">
        <v>0.03</v>
      </c>
      <c r="AA98" s="256"/>
      <c r="AB98" s="257">
        <v>0.03</v>
      </c>
      <c r="AC98" s="256"/>
      <c r="AD98" s="257">
        <v>0.03</v>
      </c>
      <c r="AE98" s="256"/>
      <c r="AF98" s="257">
        <v>0.03</v>
      </c>
      <c r="AG98" s="256"/>
      <c r="AH98" s="257">
        <v>0.03</v>
      </c>
      <c r="AI98" s="256"/>
      <c r="AJ98" s="153">
        <v>0.03</v>
      </c>
      <c r="AK98" s="7"/>
    </row>
    <row r="99" spans="1:37" ht="15.75" collapsed="1" thickBot="1" x14ac:dyDescent="0.3">
      <c r="A99" s="7"/>
      <c r="B99" s="258" t="s">
        <v>53</v>
      </c>
      <c r="C99" s="259">
        <f>C96-C97</f>
        <v>623998.08020000008</v>
      </c>
      <c r="D99" s="260">
        <f>C99/C$49</f>
        <v>0.34139386807237632</v>
      </c>
      <c r="E99" s="259">
        <f>E96-E97</f>
        <v>625477.8833999997</v>
      </c>
      <c r="F99" s="260">
        <f>E99/E$49</f>
        <v>0.28604792168615428</v>
      </c>
      <c r="G99" s="259">
        <f>G96-G97</f>
        <v>533475.7346999998</v>
      </c>
      <c r="H99" s="260">
        <f>G99/G$49</f>
        <v>0.23405865524856573</v>
      </c>
      <c r="I99" s="259">
        <f>I96-I97</f>
        <v>612698.08346852777</v>
      </c>
      <c r="J99" s="261">
        <f>I99/I$49</f>
        <v>0.25589894798704077</v>
      </c>
      <c r="K99" s="262"/>
      <c r="L99" s="263"/>
      <c r="M99" s="263"/>
      <c r="N99" s="263"/>
      <c r="O99" s="264">
        <f>O96-O97</f>
        <v>592892.38291363651</v>
      </c>
      <c r="P99" s="265">
        <f>O99/O$49</f>
        <v>0.26030610967109535</v>
      </c>
      <c r="Q99" s="264">
        <f>Q96-Q97</f>
        <v>678486.19381242036</v>
      </c>
      <c r="R99" s="266">
        <f>Q99/Q$49</f>
        <v>0.28546029170064752</v>
      </c>
      <c r="S99" s="264">
        <f>S96-S97</f>
        <v>719118.76741657883</v>
      </c>
      <c r="T99" s="266">
        <f>S99/S$49</f>
        <v>0.28912776908642746</v>
      </c>
      <c r="U99" s="264">
        <f>U96-U97</f>
        <v>745417.0203266755</v>
      </c>
      <c r="V99" s="266">
        <f>U99/U$49</f>
        <v>0.29097204233010621</v>
      </c>
      <c r="W99" s="264">
        <f>W96-W97</f>
        <v>775816.81663604779</v>
      </c>
      <c r="X99" s="266">
        <f>W99/W$49</f>
        <v>0.2932146740583903</v>
      </c>
      <c r="Y99" s="264">
        <f>Y96-Y97</f>
        <v>801113.19303436484</v>
      </c>
      <c r="Z99" s="266">
        <f>Y99/Y$49</f>
        <v>0.2947619303425229</v>
      </c>
      <c r="AA99" s="264">
        <f>AA96-AA97</f>
        <v>830372.62837811629</v>
      </c>
      <c r="AB99" s="266">
        <f>AA99/AA$49</f>
        <v>0.29662879560921335</v>
      </c>
      <c r="AC99" s="264">
        <f>AC96-AC97</f>
        <v>860612.97497323458</v>
      </c>
      <c r="AD99" s="266">
        <f>AC99/AC$49</f>
        <v>0.29847705299006566</v>
      </c>
      <c r="AE99" s="264">
        <f>AE96-AE97</f>
        <v>895305.24359862902</v>
      </c>
      <c r="AF99" s="266">
        <f>AE99/AE$49</f>
        <v>0.30064136948618209</v>
      </c>
      <c r="AG99" s="264">
        <f>AG96-AG97</f>
        <v>924161.95015525853</v>
      </c>
      <c r="AH99" s="266">
        <f>AG99/AG$49</f>
        <v>0.30211806390285123</v>
      </c>
      <c r="AI99" s="264">
        <f>AI96-AI97</f>
        <v>957537.90218991169</v>
      </c>
      <c r="AJ99" s="267">
        <f>AI99/AI$49</f>
        <v>0.30391165681818932</v>
      </c>
      <c r="AK99" s="7"/>
    </row>
    <row r="100" spans="1:37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68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5"/>
    </row>
    <row r="101" spans="1:37" hidden="1" x14ac:dyDescent="0.25">
      <c r="A101" s="7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7"/>
    </row>
    <row r="102" spans="1:37" hidden="1" x14ac:dyDescent="0.25">
      <c r="A102" s="7"/>
      <c r="B102" s="270"/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82"/>
      <c r="Q102" s="271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7"/>
    </row>
    <row r="103" spans="1:37" hidden="1" x14ac:dyDescent="0.25">
      <c r="A103" s="7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7"/>
    </row>
    <row r="104" spans="1:37" hidden="1" x14ac:dyDescent="0.25">
      <c r="A104" s="5"/>
      <c r="B104" s="270" t="s">
        <v>27</v>
      </c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0"/>
      <c r="AJ104" s="270"/>
      <c r="AK104" s="5"/>
    </row>
    <row r="105" spans="1:37" hidden="1" x14ac:dyDescent="0.25">
      <c r="A105" s="5"/>
      <c r="B105" s="270" t="s">
        <v>37</v>
      </c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5"/>
    </row>
    <row r="106" spans="1:37" hidden="1" x14ac:dyDescent="0.25">
      <c r="A106" s="5"/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0"/>
      <c r="AJ106" s="270"/>
      <c r="AK106" s="5"/>
    </row>
    <row r="107" spans="1:37" hidden="1" x14ac:dyDescent="0.25">
      <c r="A107" s="5"/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0"/>
      <c r="AK107" s="5"/>
    </row>
    <row r="108" spans="1:37" hidden="1" x14ac:dyDescent="0.25">
      <c r="A108" s="5"/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0"/>
      <c r="AJ108" s="270"/>
      <c r="AK108" s="5"/>
    </row>
    <row r="109" spans="1:37" hidden="1" x14ac:dyDescent="0.25">
      <c r="A109" s="5"/>
      <c r="B109" s="270"/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270"/>
      <c r="AG109" s="270"/>
      <c r="AH109" s="270"/>
      <c r="AI109" s="270"/>
      <c r="AJ109" s="270"/>
      <c r="AK109" s="5"/>
    </row>
    <row r="110" spans="1:37" hidden="1" x14ac:dyDescent="0.25">
      <c r="A110" s="5"/>
      <c r="B110" s="270"/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5"/>
    </row>
    <row r="111" spans="1:37" hidden="1" x14ac:dyDescent="0.25">
      <c r="A111" s="5"/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0"/>
      <c r="AI111" s="270"/>
      <c r="AJ111" s="270"/>
      <c r="AK111" s="5"/>
    </row>
    <row r="112" spans="1:37" hidden="1" x14ac:dyDescent="0.25"/>
    <row r="113" spans="2:53" hidden="1" x14ac:dyDescent="0.25"/>
    <row r="114" spans="2:53" hidden="1" x14ac:dyDescent="0.25"/>
    <row r="115" spans="2:53" hidden="1" x14ac:dyDescent="0.25"/>
    <row r="116" spans="2:53" hidden="1" x14ac:dyDescent="0.25"/>
    <row r="117" spans="2:53" hidden="1" x14ac:dyDescent="0.25"/>
    <row r="118" spans="2:53" hidden="1" x14ac:dyDescent="0.25"/>
    <row r="119" spans="2:53" hidden="1" x14ac:dyDescent="0.25"/>
    <row r="120" spans="2:53" hidden="1" x14ac:dyDescent="0.25"/>
    <row r="121" spans="2:53" hidden="1" x14ac:dyDescent="0.25"/>
    <row r="122" spans="2:53" s="6" customFormat="1" hidden="1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</row>
    <row r="123" spans="2:53" s="6" customFormat="1" hidden="1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</row>
    <row r="124" spans="2:53" s="6" customFormat="1" hidden="1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</row>
    <row r="125" spans="2:53" s="6" customFormat="1" hidden="1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</row>
    <row r="126" spans="2:53" s="6" customFormat="1" hidden="1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</row>
    <row r="127" spans="2:53" s="6" customFormat="1" hidden="1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</row>
    <row r="128" spans="2:53" s="6" customFormat="1" hidden="1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</row>
    <row r="129" spans="2:53" s="6" customFormat="1" hidden="1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</row>
    <row r="130" spans="2:53" s="6" customFormat="1" hidden="1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</row>
    <row r="131" spans="2:53" s="6" customFormat="1" hidden="1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</row>
    <row r="132" spans="2:53" s="6" customFormat="1" hidden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</row>
    <row r="133" spans="2:53" s="6" customFormat="1" hidden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</row>
    <row r="134" spans="2:53" s="6" customFormat="1" hidden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</row>
    <row r="135" spans="2:53" s="6" customFormat="1" hidden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</row>
    <row r="136" spans="2:53" s="6" customFormat="1" hidden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</row>
    <row r="137" spans="2:53" s="6" customFormat="1" hidden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</row>
    <row r="138" spans="2:53" s="6" customFormat="1" hidden="1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</row>
    <row r="139" spans="2:53" s="6" customFormat="1" hidden="1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</row>
    <row r="140" spans="2:53" s="6" customFormat="1" hidden="1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</row>
    <row r="141" spans="2:53" s="6" customFormat="1" hidden="1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</row>
    <row r="142" spans="2:53" s="6" customFormat="1" hidden="1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</row>
  </sheetData>
  <conditionalFormatting sqref="M36:AJ36">
    <cfRule type="expression" dxfId="58" priority="57">
      <formula>$L36="Static"</formula>
    </cfRule>
  </conditionalFormatting>
  <conditionalFormatting sqref="M42:V42">
    <cfRule type="expression" dxfId="57" priority="56">
      <formula>$L42="Static"</formula>
    </cfRule>
  </conditionalFormatting>
  <conditionalFormatting sqref="M48:V48">
    <cfRule type="expression" dxfId="56" priority="55">
      <formula>$L48="Static"</formula>
    </cfRule>
  </conditionalFormatting>
  <conditionalFormatting sqref="M62:V62">
    <cfRule type="expression" dxfId="55" priority="54">
      <formula>$L62="Static"</formula>
    </cfRule>
  </conditionalFormatting>
  <conditionalFormatting sqref="M68:V68">
    <cfRule type="expression" dxfId="54" priority="53">
      <formula>$L68="Static"</formula>
    </cfRule>
  </conditionalFormatting>
  <conditionalFormatting sqref="M74:V74">
    <cfRule type="expression" dxfId="53" priority="52">
      <formula>$L74="Static"</formula>
    </cfRule>
  </conditionalFormatting>
  <conditionalFormatting sqref="M80:V80">
    <cfRule type="expression" dxfId="52" priority="51">
      <formula>$L80="Static"</formula>
    </cfRule>
  </conditionalFormatting>
  <conditionalFormatting sqref="M86:V86">
    <cfRule type="expression" dxfId="51" priority="50">
      <formula>$L86="Static"</formula>
    </cfRule>
  </conditionalFormatting>
  <conditionalFormatting sqref="W42:X42">
    <cfRule type="expression" dxfId="50" priority="49">
      <formula>$L42="Static"</formula>
    </cfRule>
  </conditionalFormatting>
  <conditionalFormatting sqref="W48:X48">
    <cfRule type="expression" dxfId="49" priority="48">
      <formula>$L48="Static"</formula>
    </cfRule>
  </conditionalFormatting>
  <conditionalFormatting sqref="W62:X62">
    <cfRule type="expression" dxfId="48" priority="47">
      <formula>$L62="Static"</formula>
    </cfRule>
  </conditionalFormatting>
  <conditionalFormatting sqref="W68:X68">
    <cfRule type="expression" dxfId="47" priority="46">
      <formula>$L68="Static"</formula>
    </cfRule>
  </conditionalFormatting>
  <conditionalFormatting sqref="W74:X74">
    <cfRule type="expression" dxfId="46" priority="45">
      <formula>$L74="Static"</formula>
    </cfRule>
  </conditionalFormatting>
  <conditionalFormatting sqref="W80:X80">
    <cfRule type="expression" dxfId="45" priority="44">
      <formula>$L80="Static"</formula>
    </cfRule>
  </conditionalFormatting>
  <conditionalFormatting sqref="W86:X86">
    <cfRule type="expression" dxfId="44" priority="43">
      <formula>$L86="Static"</formula>
    </cfRule>
  </conditionalFormatting>
  <conditionalFormatting sqref="Y42:Z42">
    <cfRule type="expression" dxfId="43" priority="42">
      <formula>$L42="Static"</formula>
    </cfRule>
  </conditionalFormatting>
  <conditionalFormatting sqref="Y48:Z48">
    <cfRule type="expression" dxfId="42" priority="41">
      <formula>$L48="Static"</formula>
    </cfRule>
  </conditionalFormatting>
  <conditionalFormatting sqref="Y62:Z62">
    <cfRule type="expression" dxfId="41" priority="40">
      <formula>$L62="Static"</formula>
    </cfRule>
  </conditionalFormatting>
  <conditionalFormatting sqref="Y68:Z68">
    <cfRule type="expression" dxfId="40" priority="39">
      <formula>$L68="Static"</formula>
    </cfRule>
  </conditionalFormatting>
  <conditionalFormatting sqref="Y74:Z74">
    <cfRule type="expression" dxfId="39" priority="38">
      <formula>$L74="Static"</formula>
    </cfRule>
  </conditionalFormatting>
  <conditionalFormatting sqref="Y80:Z80">
    <cfRule type="expression" dxfId="38" priority="37">
      <formula>$L80="Static"</formula>
    </cfRule>
  </conditionalFormatting>
  <conditionalFormatting sqref="Y86:Z86">
    <cfRule type="expression" dxfId="37" priority="36">
      <formula>$L86="Static"</formula>
    </cfRule>
  </conditionalFormatting>
  <conditionalFormatting sqref="AA42:AB42">
    <cfRule type="expression" dxfId="36" priority="35">
      <formula>$L42="Static"</formula>
    </cfRule>
  </conditionalFormatting>
  <conditionalFormatting sqref="AA48:AB48">
    <cfRule type="expression" dxfId="35" priority="34">
      <formula>$L48="Static"</formula>
    </cfRule>
  </conditionalFormatting>
  <conditionalFormatting sqref="AA62:AB62">
    <cfRule type="expression" dxfId="34" priority="33">
      <formula>$L62="Static"</formula>
    </cfRule>
  </conditionalFormatting>
  <conditionalFormatting sqref="AA68:AB68">
    <cfRule type="expression" dxfId="33" priority="32">
      <formula>$L68="Static"</formula>
    </cfRule>
  </conditionalFormatting>
  <conditionalFormatting sqref="AA74:AB74">
    <cfRule type="expression" dxfId="32" priority="31">
      <formula>$L74="Static"</formula>
    </cfRule>
  </conditionalFormatting>
  <conditionalFormatting sqref="AA80:AB80">
    <cfRule type="expression" dxfId="31" priority="30">
      <formula>$L80="Static"</formula>
    </cfRule>
  </conditionalFormatting>
  <conditionalFormatting sqref="AA86:AB86">
    <cfRule type="expression" dxfId="30" priority="29">
      <formula>$L86="Static"</formula>
    </cfRule>
  </conditionalFormatting>
  <conditionalFormatting sqref="AC42:AD42">
    <cfRule type="expression" dxfId="29" priority="28">
      <formula>$L42="Static"</formula>
    </cfRule>
  </conditionalFormatting>
  <conditionalFormatting sqref="AC48:AD48">
    <cfRule type="expression" dxfId="28" priority="27">
      <formula>$L48="Static"</formula>
    </cfRule>
  </conditionalFormatting>
  <conditionalFormatting sqref="AC62:AD62">
    <cfRule type="expression" dxfId="27" priority="26">
      <formula>$L62="Static"</formula>
    </cfRule>
  </conditionalFormatting>
  <conditionalFormatting sqref="AC68:AD68">
    <cfRule type="expression" dxfId="26" priority="25">
      <formula>$L68="Static"</formula>
    </cfRule>
  </conditionalFormatting>
  <conditionalFormatting sqref="AC74:AD74">
    <cfRule type="expression" dxfId="25" priority="24">
      <formula>$L74="Static"</formula>
    </cfRule>
  </conditionalFormatting>
  <conditionalFormatting sqref="AC80:AD80">
    <cfRule type="expression" dxfId="24" priority="23">
      <formula>$L80="Static"</formula>
    </cfRule>
  </conditionalFormatting>
  <conditionalFormatting sqref="AC86:AD86">
    <cfRule type="expression" dxfId="23" priority="22">
      <formula>$L86="Static"</formula>
    </cfRule>
  </conditionalFormatting>
  <conditionalFormatting sqref="AE42:AF42">
    <cfRule type="expression" dxfId="22" priority="21">
      <formula>$L42="Static"</formula>
    </cfRule>
  </conditionalFormatting>
  <conditionalFormatting sqref="AE48:AF48">
    <cfRule type="expression" dxfId="21" priority="20">
      <formula>$L48="Static"</formula>
    </cfRule>
  </conditionalFormatting>
  <conditionalFormatting sqref="AE62:AF62">
    <cfRule type="expression" dxfId="20" priority="19">
      <formula>$L62="Static"</formula>
    </cfRule>
  </conditionalFormatting>
  <conditionalFormatting sqref="AE68:AF68">
    <cfRule type="expression" dxfId="19" priority="18">
      <formula>$L68="Static"</formula>
    </cfRule>
  </conditionalFormatting>
  <conditionalFormatting sqref="AE74:AF74">
    <cfRule type="expression" dxfId="18" priority="17">
      <formula>$L74="Static"</formula>
    </cfRule>
  </conditionalFormatting>
  <conditionalFormatting sqref="AE80:AF80">
    <cfRule type="expression" dxfId="17" priority="16">
      <formula>$L80="Static"</formula>
    </cfRule>
  </conditionalFormatting>
  <conditionalFormatting sqref="AE86:AF86">
    <cfRule type="expression" dxfId="16" priority="15">
      <formula>$L86="Static"</formula>
    </cfRule>
  </conditionalFormatting>
  <conditionalFormatting sqref="AG42:AH42">
    <cfRule type="expression" dxfId="15" priority="14">
      <formula>$L42="Static"</formula>
    </cfRule>
  </conditionalFormatting>
  <conditionalFormatting sqref="AG48:AH48">
    <cfRule type="expression" dxfId="14" priority="13">
      <formula>$L48="Static"</formula>
    </cfRule>
  </conditionalFormatting>
  <conditionalFormatting sqref="AG62:AH62">
    <cfRule type="expression" dxfId="13" priority="12">
      <formula>$L62="Static"</formula>
    </cfRule>
  </conditionalFormatting>
  <conditionalFormatting sqref="AG68:AH68">
    <cfRule type="expression" dxfId="12" priority="11">
      <formula>$L68="Static"</formula>
    </cfRule>
  </conditionalFormatting>
  <conditionalFormatting sqref="AG74:AH74">
    <cfRule type="expression" dxfId="11" priority="10">
      <formula>$L74="Static"</formula>
    </cfRule>
  </conditionalFormatting>
  <conditionalFormatting sqref="AG80:AH80">
    <cfRule type="expression" dxfId="10" priority="9">
      <formula>$L80="Static"</formula>
    </cfRule>
  </conditionalFormatting>
  <conditionalFormatting sqref="AG86:AH86">
    <cfRule type="expression" dxfId="9" priority="8">
      <formula>$L86="Static"</formula>
    </cfRule>
  </conditionalFormatting>
  <conditionalFormatting sqref="AI42:AJ42">
    <cfRule type="expression" dxfId="8" priority="7">
      <formula>$L42="Static"</formula>
    </cfRule>
  </conditionalFormatting>
  <conditionalFormatting sqref="AI48:AJ48">
    <cfRule type="expression" dxfId="7" priority="6">
      <formula>$L48="Static"</formula>
    </cfRule>
  </conditionalFormatting>
  <conditionalFormatting sqref="AI62:AJ62">
    <cfRule type="expression" dxfId="6" priority="5">
      <formula>$L62="Static"</formula>
    </cfRule>
  </conditionalFormatting>
  <conditionalFormatting sqref="AI68:AJ68">
    <cfRule type="expression" dxfId="5" priority="4">
      <formula>$L68="Static"</formula>
    </cfRule>
  </conditionalFormatting>
  <conditionalFormatting sqref="AI74:AJ74">
    <cfRule type="expression" dxfId="4" priority="3">
      <formula>$L74="Static"</formula>
    </cfRule>
  </conditionalFormatting>
  <conditionalFormatting sqref="AI80:AJ80">
    <cfRule type="expression" dxfId="3" priority="2">
      <formula>$L80="Static"</formula>
    </cfRule>
  </conditionalFormatting>
  <conditionalFormatting sqref="AI86:AJ86">
    <cfRule type="expression" dxfId="2" priority="1">
      <formula>$L86="Static"</formula>
    </cfRule>
  </conditionalFormatting>
  <conditionalFormatting sqref="N34:AJ34 N40:AJ40 N46:AJ46 N60:AJ60 N66:AJ66 N72:AJ72 N78:AJ78 N84:AJ84">
    <cfRule type="expression" dxfId="1" priority="58">
      <formula>$M35="custom"</formula>
    </cfRule>
  </conditionalFormatting>
  <conditionalFormatting sqref="N35:AJ35 N41:AJ41 N47:AJ47 N61:AJ61 N67:AJ67 N73:AJ73 N79:AJ79 N85:AJ85">
    <cfRule type="expression" dxfId="0" priority="59">
      <formula>$M35="Static"</formula>
    </cfRule>
  </conditionalFormatting>
  <dataValidations disablePrompts="1" count="1">
    <dataValidation type="list" allowBlank="1" showInputMessage="1" showErrorMessage="1" sqref="M35 L86 M85 L80 M79 L74 M73 L68 M67 L62 M61 L48 M47 L42 M41 L36" xr:uid="{BCAD40CC-3B0B-4F18-993E-A20F67BFEE3B}">
      <formula1>$B$104:$B$105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9050-710D-4617-A599-4D64D71658AB}">
  <dimension ref="B4:J11"/>
  <sheetViews>
    <sheetView workbookViewId="0">
      <selection activeCell="B4" sqref="B4:J11"/>
    </sheetView>
  </sheetViews>
  <sheetFormatPr defaultRowHeight="15" x14ac:dyDescent="0.25"/>
  <cols>
    <col min="2" max="2" width="44" bestFit="1" customWidth="1"/>
  </cols>
  <sheetData>
    <row r="4" spans="2:10" x14ac:dyDescent="0.25">
      <c r="C4">
        <v>2020</v>
      </c>
      <c r="D4">
        <f>+C4+1</f>
        <v>2021</v>
      </c>
      <c r="E4">
        <f t="shared" ref="E4:J4" si="0">+D4+1</f>
        <v>2022</v>
      </c>
      <c r="F4">
        <f t="shared" si="0"/>
        <v>2023</v>
      </c>
      <c r="G4">
        <f t="shared" si="0"/>
        <v>2024</v>
      </c>
      <c r="H4">
        <f t="shared" si="0"/>
        <v>2025</v>
      </c>
      <c r="I4">
        <f t="shared" si="0"/>
        <v>2026</v>
      </c>
      <c r="J4">
        <f t="shared" si="0"/>
        <v>2027</v>
      </c>
    </row>
    <row r="5" spans="2:10" x14ac:dyDescent="0.25">
      <c r="B5" s="1" t="str">
        <f>[1]OpCashFlow!B12</f>
        <v xml:space="preserve">Occupancy </v>
      </c>
    </row>
    <row r="6" spans="2:10" x14ac:dyDescent="0.25">
      <c r="B6" s="2" t="s">
        <v>0</v>
      </c>
    </row>
    <row r="7" spans="2:10" x14ac:dyDescent="0.25">
      <c r="B7" s="2" t="s">
        <v>1</v>
      </c>
    </row>
    <row r="8" spans="2:10" x14ac:dyDescent="0.25">
      <c r="B8" s="2" t="s">
        <v>2</v>
      </c>
    </row>
    <row r="9" spans="2:10" x14ac:dyDescent="0.25">
      <c r="B9" s="2" t="s">
        <v>3</v>
      </c>
    </row>
    <row r="10" spans="2:10" x14ac:dyDescent="0.25">
      <c r="B10" s="3" t="s">
        <v>4</v>
      </c>
    </row>
    <row r="11" spans="2:10" x14ac:dyDescent="0.25">
      <c r="B11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OpCashFlow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2020-04-05T20:05:16Z</dcterms:created>
  <dcterms:modified xsi:type="dcterms:W3CDTF">2020-04-05T23:17:59Z</dcterms:modified>
</cp:coreProperties>
</file>