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burt\Desktop\"/>
    </mc:Choice>
  </mc:AlternateContent>
  <xr:revisionPtr revIDLastSave="0" documentId="13_ncr:1_{D0B089E9-1635-4E4B-AA16-1D05EF28987F}" xr6:coauthVersionLast="36" xr6:coauthVersionMax="36" xr10:uidLastSave="{00000000-0000-0000-0000-000000000000}"/>
  <bookViews>
    <workbookView xWindow="0" yWindow="0" windowWidth="22470" windowHeight="11100" xr2:uid="{14348422-9DA4-425A-A081-990838AC1D5A}"/>
  </bookViews>
  <sheets>
    <sheet name="#1 Base Case" sheetId="1" r:id="rId1"/>
    <sheet name="#2 Base High LTV" sheetId="2" r:id="rId2"/>
    <sheet name="#3 Downside Case" sheetId="3" r:id="rId3"/>
    <sheet name="#4 Downside High LTV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17" i="4" l="1"/>
  <c r="M21" i="4" s="1"/>
  <c r="D17" i="4"/>
  <c r="D25" i="4" s="1"/>
  <c r="C13" i="4"/>
  <c r="C25" i="4" s="1"/>
  <c r="D12" i="4"/>
  <c r="E12" i="4" s="1"/>
  <c r="F5" i="4"/>
  <c r="F9" i="4" s="1"/>
  <c r="N17" i="3"/>
  <c r="M21" i="3" s="1"/>
  <c r="E17" i="3"/>
  <c r="D17" i="3"/>
  <c r="C13" i="3"/>
  <c r="C25" i="3" s="1"/>
  <c r="E12" i="3"/>
  <c r="F12" i="3" s="1"/>
  <c r="D12" i="3"/>
  <c r="F5" i="3"/>
  <c r="C14" i="3" s="1"/>
  <c r="C15" i="3" s="1"/>
  <c r="C28" i="3" s="1"/>
  <c r="C25" i="2"/>
  <c r="N17" i="2"/>
  <c r="M21" i="2" s="1"/>
  <c r="D17" i="2"/>
  <c r="C13" i="2"/>
  <c r="E12" i="2"/>
  <c r="E17" i="2" s="1"/>
  <c r="D12" i="2"/>
  <c r="F9" i="2"/>
  <c r="J18" i="2" s="1"/>
  <c r="F5" i="2"/>
  <c r="C14" i="2" s="1"/>
  <c r="N17" i="1"/>
  <c r="M17" i="1"/>
  <c r="L17" i="1"/>
  <c r="K17" i="1"/>
  <c r="J17" i="1"/>
  <c r="I17" i="1"/>
  <c r="H17" i="1"/>
  <c r="G17" i="1"/>
  <c r="F17" i="1"/>
  <c r="E17" i="1"/>
  <c r="D17" i="1"/>
  <c r="D25" i="1" s="1"/>
  <c r="F5" i="1"/>
  <c r="C14" i="1" s="1"/>
  <c r="C13" i="1"/>
  <c r="C25" i="1" s="1"/>
  <c r="D12" i="1"/>
  <c r="E12" i="1" s="1"/>
  <c r="F12" i="1" s="1"/>
  <c r="G12" i="1" s="1"/>
  <c r="H12" i="1" s="1"/>
  <c r="I12" i="1" s="1"/>
  <c r="J12" i="1" s="1"/>
  <c r="K12" i="1" s="1"/>
  <c r="L12" i="1" s="1"/>
  <c r="M12" i="1" s="1"/>
  <c r="C14" i="4" l="1"/>
  <c r="C15" i="2"/>
  <c r="C28" i="2" s="1"/>
  <c r="M18" i="4"/>
  <c r="E18" i="4"/>
  <c r="I18" i="4"/>
  <c r="H18" i="4"/>
  <c r="G18" i="4"/>
  <c r="F18" i="4"/>
  <c r="L18" i="4"/>
  <c r="D18" i="4"/>
  <c r="D19" i="4" s="1"/>
  <c r="D28" i="4" s="1"/>
  <c r="K18" i="4"/>
  <c r="F10" i="4"/>
  <c r="M22" i="4" s="1"/>
  <c r="K5" i="4" s="1"/>
  <c r="J18" i="4"/>
  <c r="E17" i="4"/>
  <c r="F12" i="4"/>
  <c r="C15" i="4"/>
  <c r="C28" i="4" s="1"/>
  <c r="G12" i="3"/>
  <c r="F17" i="3"/>
  <c r="F9" i="3"/>
  <c r="D25" i="3"/>
  <c r="E25" i="3"/>
  <c r="E25" i="2"/>
  <c r="K18" i="2"/>
  <c r="D18" i="2"/>
  <c r="D19" i="2" s="1"/>
  <c r="D28" i="2" s="1"/>
  <c r="L18" i="2"/>
  <c r="D25" i="2"/>
  <c r="E18" i="2"/>
  <c r="E19" i="2" s="1"/>
  <c r="E28" i="2" s="1"/>
  <c r="M18" i="2"/>
  <c r="F12" i="2"/>
  <c r="F18" i="2"/>
  <c r="I18" i="2"/>
  <c r="F10" i="2"/>
  <c r="M22" i="2" s="1"/>
  <c r="K5" i="2" s="1"/>
  <c r="G18" i="2"/>
  <c r="H18" i="2"/>
  <c r="C15" i="1"/>
  <c r="C28" i="1" s="1"/>
  <c r="E25" i="1"/>
  <c r="F9" i="1"/>
  <c r="M18" i="1" s="1"/>
  <c r="F17" i="4" l="1"/>
  <c r="G12" i="4"/>
  <c r="E25" i="4"/>
  <c r="E19" i="4"/>
  <c r="E28" i="4" s="1"/>
  <c r="M23" i="4"/>
  <c r="G18" i="3"/>
  <c r="F18" i="3"/>
  <c r="F19" i="3" s="1"/>
  <c r="F28" i="3" s="1"/>
  <c r="M18" i="3"/>
  <c r="E18" i="3"/>
  <c r="E19" i="3" s="1"/>
  <c r="E28" i="3" s="1"/>
  <c r="J18" i="3"/>
  <c r="H18" i="3"/>
  <c r="L18" i="3"/>
  <c r="D18" i="3"/>
  <c r="D19" i="3" s="1"/>
  <c r="D28" i="3" s="1"/>
  <c r="K18" i="3"/>
  <c r="F10" i="3"/>
  <c r="M22" i="3" s="1"/>
  <c r="I18" i="3"/>
  <c r="F25" i="3"/>
  <c r="G17" i="3"/>
  <c r="H12" i="3"/>
  <c r="M23" i="2"/>
  <c r="G12" i="2"/>
  <c r="F17" i="2"/>
  <c r="D18" i="1"/>
  <c r="D19" i="1" s="1"/>
  <c r="D28" i="1" s="1"/>
  <c r="F10" i="1"/>
  <c r="M22" i="1" s="1"/>
  <c r="J18" i="1"/>
  <c r="G18" i="1"/>
  <c r="F18" i="1"/>
  <c r="I18" i="1"/>
  <c r="E18" i="1"/>
  <c r="E19" i="1" s="1"/>
  <c r="E28" i="1" s="1"/>
  <c r="H18" i="1"/>
  <c r="L18" i="1"/>
  <c r="K18" i="1"/>
  <c r="H12" i="4" l="1"/>
  <c r="G17" i="4"/>
  <c r="F19" i="4"/>
  <c r="F28" i="4" s="1"/>
  <c r="F25" i="4"/>
  <c r="H17" i="3"/>
  <c r="I12" i="3"/>
  <c r="G25" i="3"/>
  <c r="G19" i="3"/>
  <c r="G28" i="3" s="1"/>
  <c r="K5" i="3"/>
  <c r="M23" i="3"/>
  <c r="H12" i="2"/>
  <c r="G17" i="2"/>
  <c r="F19" i="2"/>
  <c r="F28" i="2" s="1"/>
  <c r="F25" i="2"/>
  <c r="F19" i="1"/>
  <c r="F28" i="1" s="1"/>
  <c r="F25" i="1"/>
  <c r="G25" i="1"/>
  <c r="G19" i="1"/>
  <c r="G28" i="1" s="1"/>
  <c r="H17" i="4" l="1"/>
  <c r="I12" i="4"/>
  <c r="G19" i="4"/>
  <c r="G28" i="4" s="1"/>
  <c r="G25" i="4"/>
  <c r="H19" i="3"/>
  <c r="H28" i="3" s="1"/>
  <c r="H25" i="3"/>
  <c r="I17" i="3"/>
  <c r="J12" i="3"/>
  <c r="G25" i="2"/>
  <c r="G19" i="2"/>
  <c r="G28" i="2" s="1"/>
  <c r="H17" i="2"/>
  <c r="I12" i="2"/>
  <c r="H25" i="1"/>
  <c r="H19" i="1"/>
  <c r="H28" i="1" s="1"/>
  <c r="I17" i="4" l="1"/>
  <c r="J12" i="4"/>
  <c r="H25" i="4"/>
  <c r="H19" i="4"/>
  <c r="H28" i="4" s="1"/>
  <c r="J17" i="3"/>
  <c r="K12" i="3"/>
  <c r="I25" i="3"/>
  <c r="I19" i="3"/>
  <c r="I28" i="3" s="1"/>
  <c r="J12" i="2"/>
  <c r="I17" i="2"/>
  <c r="H19" i="2"/>
  <c r="H28" i="2" s="1"/>
  <c r="H25" i="2"/>
  <c r="I25" i="1"/>
  <c r="I19" i="1"/>
  <c r="I28" i="1" s="1"/>
  <c r="K12" i="4" l="1"/>
  <c r="J17" i="4"/>
  <c r="I19" i="4"/>
  <c r="I28" i="4" s="1"/>
  <c r="I25" i="4"/>
  <c r="L12" i="3"/>
  <c r="K17" i="3"/>
  <c r="J25" i="3"/>
  <c r="J19" i="3"/>
  <c r="J28" i="3" s="1"/>
  <c r="I19" i="2"/>
  <c r="I28" i="2" s="1"/>
  <c r="I25" i="2"/>
  <c r="J17" i="2"/>
  <c r="K12" i="2"/>
  <c r="J25" i="1"/>
  <c r="J19" i="1"/>
  <c r="J28" i="1" s="1"/>
  <c r="J19" i="4" l="1"/>
  <c r="J28" i="4" s="1"/>
  <c r="J25" i="4"/>
  <c r="K17" i="4"/>
  <c r="L12" i="4"/>
  <c r="K19" i="3"/>
  <c r="K28" i="3" s="1"/>
  <c r="K25" i="3"/>
  <c r="M12" i="3"/>
  <c r="M17" i="3" s="1"/>
  <c r="L17" i="3"/>
  <c r="K17" i="2"/>
  <c r="L12" i="2"/>
  <c r="J25" i="2"/>
  <c r="J19" i="2"/>
  <c r="J28" i="2" s="1"/>
  <c r="K25" i="1"/>
  <c r="K19" i="1"/>
  <c r="K28" i="1" s="1"/>
  <c r="M12" i="4" l="1"/>
  <c r="M17" i="4" s="1"/>
  <c r="L17" i="4"/>
  <c r="K19" i="4"/>
  <c r="K28" i="4" s="1"/>
  <c r="K25" i="4"/>
  <c r="M19" i="3"/>
  <c r="M28" i="3" s="1"/>
  <c r="M25" i="3"/>
  <c r="C26" i="3" s="1"/>
  <c r="L19" i="3"/>
  <c r="L28" i="3" s="1"/>
  <c r="L25" i="3"/>
  <c r="M12" i="2"/>
  <c r="M17" i="2" s="1"/>
  <c r="L17" i="2"/>
  <c r="K19" i="2"/>
  <c r="K28" i="2" s="1"/>
  <c r="K25" i="2"/>
  <c r="L25" i="1"/>
  <c r="L19" i="1"/>
  <c r="L28" i="1" s="1"/>
  <c r="L19" i="4" l="1"/>
  <c r="L28" i="4" s="1"/>
  <c r="L25" i="4"/>
  <c r="M25" i="4"/>
  <c r="C26" i="4" s="1"/>
  <c r="M19" i="4"/>
  <c r="M28" i="4" s="1"/>
  <c r="C29" i="4" s="1"/>
  <c r="C29" i="3"/>
  <c r="L19" i="2"/>
  <c r="L28" i="2" s="1"/>
  <c r="L25" i="2"/>
  <c r="M19" i="2"/>
  <c r="M28" i="2" s="1"/>
  <c r="C29" i="2" s="1"/>
  <c r="M25" i="2"/>
  <c r="M21" i="1"/>
  <c r="M19" i="1"/>
  <c r="C26" i="2" l="1"/>
  <c r="M23" i="1"/>
  <c r="M28" i="1" s="1"/>
  <c r="C29" i="1" s="1"/>
  <c r="K5" i="1"/>
  <c r="M25" i="1"/>
  <c r="C26" i="1" s="1"/>
</calcChain>
</file>

<file path=xl/sharedStrings.xml><?xml version="1.0" encoding="utf-8"?>
<sst xmlns="http://schemas.openxmlformats.org/spreadsheetml/2006/main" count="120" uniqueCount="30">
  <si>
    <t>LEVERAGE IN REAL ESTATE</t>
  </si>
  <si>
    <t>NOI Growth</t>
  </si>
  <si>
    <t>Year</t>
  </si>
  <si>
    <t>Acquisition</t>
  </si>
  <si>
    <t>Loan Funding</t>
  </si>
  <si>
    <t>NOI</t>
  </si>
  <si>
    <t>Debt Service</t>
  </si>
  <si>
    <t>CFAF</t>
  </si>
  <si>
    <t>Reversion Value</t>
  </si>
  <si>
    <t>Loan Payoff</t>
  </si>
  <si>
    <t>Net Proceeds</t>
  </si>
  <si>
    <t>Net Levered Cash Flow</t>
  </si>
  <si>
    <t>Investment Assumptions</t>
  </si>
  <si>
    <t>Exit Cap Rate</t>
  </si>
  <si>
    <t>Shock to NOI</t>
  </si>
  <si>
    <t>Loan Terms</t>
  </si>
  <si>
    <t>Amort</t>
  </si>
  <si>
    <t>Rate</t>
  </si>
  <si>
    <t>Amount</t>
  </si>
  <si>
    <t>Purchase Price</t>
  </si>
  <si>
    <t>All IO?</t>
  </si>
  <si>
    <t>No</t>
  </si>
  <si>
    <t>PMT (Ann.)</t>
  </si>
  <si>
    <t>Payoff</t>
  </si>
  <si>
    <t>IRR</t>
  </si>
  <si>
    <t>Net Investment CFs</t>
  </si>
  <si>
    <t>Net Unlevered Cash Flow</t>
  </si>
  <si>
    <t>Yes</t>
  </si>
  <si>
    <t>Risk Metrics</t>
  </si>
  <si>
    <t>LTV at Maturity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</si>
</sst>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0.0%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12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ill="1"/>
    <xf numFmtId="0" fontId="1" fillId="2" borderId="0" xfId="0" applyFont="1" applyFill="1"/>
    <xf numFmtId="164" fontId="3" fillId="0" borderId="0" xfId="0" applyNumberFormat="1" applyFont="1"/>
    <xf numFmtId="0" fontId="2" fillId="0" borderId="0" xfId="0" applyFont="1"/>
    <xf numFmtId="10" fontId="3" fillId="0" borderId="0" xfId="0" applyNumberFormat="1" applyFont="1"/>
    <xf numFmtId="0" fontId="0" fillId="0" borderId="0" xfId="0" applyFont="1"/>
    <xf numFmtId="41" fontId="0" fillId="0" borderId="0" xfId="0" applyNumberFormat="1"/>
    <xf numFmtId="0" fontId="0" fillId="0" borderId="0" xfId="0" applyAlignment="1">
      <alignment horizontal="right"/>
    </xf>
    <xf numFmtId="41" fontId="0" fillId="0" borderId="0" xfId="0" applyNumberFormat="1" applyAlignment="1">
      <alignment horizontal="right"/>
    </xf>
    <xf numFmtId="0" fontId="3" fillId="0" borderId="0" xfId="0" applyFont="1" applyAlignment="1">
      <alignment horizontal="right"/>
    </xf>
    <xf numFmtId="164" fontId="0" fillId="0" borderId="0" xfId="0" applyNumberFormat="1"/>
    <xf numFmtId="41" fontId="4" fillId="0" borderId="0" xfId="0" applyNumberFormat="1" applyFont="1" applyAlignment="1">
      <alignment horizontal="right"/>
    </xf>
    <xf numFmtId="0" fontId="0" fillId="0" borderId="0" xfId="0" applyAlignment="1">
      <alignment horizontal="left" indent="1"/>
    </xf>
    <xf numFmtId="10" fontId="0" fillId="0" borderId="0" xfId="0" applyNumberFormat="1" applyAlignment="1">
      <alignment horizontal="right"/>
    </xf>
    <xf numFmtId="0" fontId="0" fillId="3" borderId="0" xfId="0" applyFill="1"/>
    <xf numFmtId="0" fontId="0" fillId="3" borderId="0" xfId="0" applyFill="1" applyAlignment="1">
      <alignment horizontal="right"/>
    </xf>
    <xf numFmtId="0" fontId="5" fillId="0" borderId="0" xfId="0" applyFont="1"/>
    <xf numFmtId="3" fontId="6" fillId="0" borderId="0" xfId="0" applyNumberFormat="1" applyFont="1"/>
    <xf numFmtId="0" fontId="6" fillId="0" borderId="0" xfId="0" applyFont="1"/>
    <xf numFmtId="10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541F0-8628-4F62-96C6-7A69EDED6A68}">
  <dimension ref="B1:N29"/>
  <sheetViews>
    <sheetView tabSelected="1" workbookViewId="0"/>
  </sheetViews>
  <sheetFormatPr defaultRowHeight="15" x14ac:dyDescent="0.25"/>
  <cols>
    <col min="1" max="1" width="3" customWidth="1"/>
    <col min="2" max="2" width="23.7109375" bestFit="1" customWidth="1"/>
    <col min="3" max="3" width="12.28515625" style="8" bestFit="1" customWidth="1"/>
    <col min="4" max="4" width="10.28515625" style="9" bestFit="1" customWidth="1"/>
    <col min="5" max="5" width="11" style="9" bestFit="1" customWidth="1"/>
    <col min="6" max="6" width="11.85546875" style="9" bestFit="1" customWidth="1"/>
    <col min="7" max="12" width="9.85546875" style="9" bestFit="1" customWidth="1"/>
    <col min="13" max="13" width="11.7109375" style="9" bestFit="1" customWidth="1"/>
    <col min="14" max="14" width="10.7109375" style="9" bestFit="1" customWidth="1"/>
  </cols>
  <sheetData>
    <row r="1" spans="2:14" x14ac:dyDescent="0.25">
      <c r="C1"/>
      <c r="D1"/>
      <c r="E1"/>
      <c r="F1"/>
      <c r="G1"/>
      <c r="H1"/>
      <c r="I1"/>
      <c r="J1"/>
      <c r="K1"/>
      <c r="L1"/>
      <c r="M1"/>
      <c r="N1"/>
    </row>
    <row r="2" spans="2:14" x14ac:dyDescent="0.2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4" x14ac:dyDescent="0.25">
      <c r="C3"/>
      <c r="D3"/>
      <c r="E3"/>
      <c r="F3"/>
      <c r="G3"/>
      <c r="H3"/>
      <c r="I3"/>
      <c r="J3"/>
      <c r="K3"/>
      <c r="L3"/>
      <c r="M3"/>
      <c r="N3"/>
    </row>
    <row r="4" spans="2:14" x14ac:dyDescent="0.25">
      <c r="B4" s="4" t="s">
        <v>12</v>
      </c>
      <c r="C4"/>
      <c r="D4"/>
      <c r="E4" s="4" t="s">
        <v>15</v>
      </c>
      <c r="F4"/>
      <c r="G4"/>
      <c r="H4"/>
      <c r="I4" s="17" t="s">
        <v>28</v>
      </c>
      <c r="J4"/>
      <c r="K4"/>
      <c r="L4"/>
      <c r="M4"/>
      <c r="N4"/>
    </row>
    <row r="5" spans="2:14" x14ac:dyDescent="0.25">
      <c r="B5" s="6" t="s">
        <v>19</v>
      </c>
      <c r="C5" s="18">
        <v>10000000</v>
      </c>
      <c r="D5"/>
      <c r="E5" s="6" t="s">
        <v>18</v>
      </c>
      <c r="F5" s="7">
        <f>C5*G5</f>
        <v>6000000</v>
      </c>
      <c r="G5" s="3">
        <v>0.6</v>
      </c>
      <c r="H5"/>
      <c r="I5" t="s">
        <v>29</v>
      </c>
      <c r="J5"/>
      <c r="K5" s="11">
        <f>-M22/M21</f>
        <v>0.43344326077852668</v>
      </c>
      <c r="L5"/>
      <c r="M5"/>
      <c r="N5"/>
    </row>
    <row r="6" spans="2:14" x14ac:dyDescent="0.25">
      <c r="B6" t="s">
        <v>1</v>
      </c>
      <c r="C6" s="5">
        <v>0.02</v>
      </c>
      <c r="D6"/>
      <c r="E6" t="s">
        <v>20</v>
      </c>
      <c r="F6" s="10" t="s">
        <v>21</v>
      </c>
      <c r="G6"/>
      <c r="H6"/>
      <c r="I6"/>
      <c r="J6"/>
      <c r="K6"/>
      <c r="L6"/>
      <c r="M6"/>
      <c r="N6"/>
    </row>
    <row r="7" spans="2:14" x14ac:dyDescent="0.25">
      <c r="B7" t="s">
        <v>13</v>
      </c>
      <c r="C7" s="5">
        <v>0.06</v>
      </c>
      <c r="D7"/>
      <c r="E7" t="s">
        <v>16</v>
      </c>
      <c r="F7" s="19">
        <v>30</v>
      </c>
      <c r="G7"/>
      <c r="H7"/>
      <c r="I7"/>
      <c r="J7"/>
      <c r="K7"/>
      <c r="L7"/>
      <c r="M7"/>
      <c r="N7"/>
    </row>
    <row r="8" spans="2:14" x14ac:dyDescent="0.25">
      <c r="B8" t="s">
        <v>14</v>
      </c>
      <c r="C8" s="5">
        <v>0</v>
      </c>
      <c r="D8"/>
      <c r="E8" t="s">
        <v>17</v>
      </c>
      <c r="F8" s="20">
        <v>4.7500000000000001E-2</v>
      </c>
      <c r="G8"/>
      <c r="H8"/>
      <c r="I8"/>
      <c r="J8"/>
      <c r="K8"/>
      <c r="L8"/>
      <c r="M8"/>
      <c r="N8"/>
    </row>
    <row r="9" spans="2:14" x14ac:dyDescent="0.25">
      <c r="C9"/>
      <c r="D9"/>
      <c r="E9" t="s">
        <v>22</v>
      </c>
      <c r="F9" s="7">
        <f>IF(F6="Yes",F5*F8,PMT(F8/12,F7*12,-F5)*12)</f>
        <v>375586.0822822398</v>
      </c>
      <c r="G9"/>
      <c r="H9"/>
      <c r="I9"/>
      <c r="J9"/>
      <c r="K9"/>
      <c r="L9"/>
      <c r="M9"/>
      <c r="N9"/>
    </row>
    <row r="10" spans="2:14" x14ac:dyDescent="0.25">
      <c r="C10"/>
      <c r="D10"/>
      <c r="E10" t="s">
        <v>23</v>
      </c>
      <c r="F10" s="7">
        <f>IF(F6="Yes",F5,PV(F8/12,F7*12-120,-F9/12))</f>
        <v>4843345.0658391006</v>
      </c>
      <c r="G10"/>
      <c r="H10"/>
      <c r="I10"/>
      <c r="J10"/>
      <c r="K10"/>
      <c r="L10"/>
      <c r="M10"/>
      <c r="N10"/>
    </row>
    <row r="11" spans="2:14" x14ac:dyDescent="0.25">
      <c r="C11"/>
      <c r="D11"/>
      <c r="E11"/>
      <c r="F11"/>
      <c r="G11"/>
      <c r="H11"/>
      <c r="I11"/>
      <c r="J11"/>
      <c r="K11"/>
      <c r="L11"/>
      <c r="M11"/>
      <c r="N11"/>
    </row>
    <row r="12" spans="2:14" x14ac:dyDescent="0.25">
      <c r="B12" s="15" t="s">
        <v>2</v>
      </c>
      <c r="C12" s="16">
        <v>0</v>
      </c>
      <c r="D12" s="16">
        <f>C12+1</f>
        <v>1</v>
      </c>
      <c r="E12" s="16">
        <f t="shared" ref="E12:M12" si="0">D12+1</f>
        <v>2</v>
      </c>
      <c r="F12" s="16">
        <f t="shared" si="0"/>
        <v>3</v>
      </c>
      <c r="G12" s="16">
        <f t="shared" si="0"/>
        <v>4</v>
      </c>
      <c r="H12" s="16">
        <f t="shared" si="0"/>
        <v>5</v>
      </c>
      <c r="I12" s="16">
        <f t="shared" si="0"/>
        <v>6</v>
      </c>
      <c r="J12" s="16">
        <f t="shared" si="0"/>
        <v>7</v>
      </c>
      <c r="K12" s="16">
        <f t="shared" si="0"/>
        <v>8</v>
      </c>
      <c r="L12" s="16">
        <f t="shared" si="0"/>
        <v>9</v>
      </c>
      <c r="M12" s="16">
        <f t="shared" si="0"/>
        <v>10</v>
      </c>
      <c r="N12" s="16">
        <v>11</v>
      </c>
    </row>
    <row r="13" spans="2:14" x14ac:dyDescent="0.25">
      <c r="B13" t="s">
        <v>3</v>
      </c>
      <c r="C13" s="9">
        <f>-C5</f>
        <v>-10000000</v>
      </c>
    </row>
    <row r="14" spans="2:14" ht="17.25" x14ac:dyDescent="0.4">
      <c r="B14" t="s">
        <v>4</v>
      </c>
      <c r="C14" s="12">
        <f>F5</f>
        <v>6000000</v>
      </c>
    </row>
    <row r="15" spans="2:14" x14ac:dyDescent="0.25">
      <c r="B15" t="s">
        <v>25</v>
      </c>
      <c r="C15" s="9">
        <f>SUM(C13:C14)</f>
        <v>-4000000</v>
      </c>
    </row>
    <row r="16" spans="2:14" x14ac:dyDescent="0.25">
      <c r="C16" s="9"/>
    </row>
    <row r="17" spans="2:14" x14ac:dyDescent="0.25">
      <c r="B17" t="s">
        <v>5</v>
      </c>
      <c r="C17" s="9"/>
      <c r="D17" s="9">
        <f>($C$5*0.055*(1+$C$6)^(D12-1))*(1-$C$8)</f>
        <v>550000</v>
      </c>
      <c r="E17" s="9">
        <f t="shared" ref="E17:N17" si="1">($C$5*0.055*(1+$C$6)^(E12-1))*(1-$C$8)</f>
        <v>561000</v>
      </c>
      <c r="F17" s="9">
        <f t="shared" si="1"/>
        <v>572220</v>
      </c>
      <c r="G17" s="9">
        <f t="shared" si="1"/>
        <v>583664.39999999991</v>
      </c>
      <c r="H17" s="9">
        <f t="shared" si="1"/>
        <v>595337.68799999997</v>
      </c>
      <c r="I17" s="9">
        <f t="shared" si="1"/>
        <v>607244.44175999996</v>
      </c>
      <c r="J17" s="9">
        <f t="shared" si="1"/>
        <v>619389.33059520007</v>
      </c>
      <c r="K17" s="9">
        <f t="shared" si="1"/>
        <v>631777.11720710387</v>
      </c>
      <c r="L17" s="9">
        <f t="shared" si="1"/>
        <v>644412.65955124609</v>
      </c>
      <c r="M17" s="9">
        <f t="shared" si="1"/>
        <v>657300.91274227097</v>
      </c>
      <c r="N17" s="9">
        <f t="shared" si="1"/>
        <v>670446.93099711637</v>
      </c>
    </row>
    <row r="18" spans="2:14" ht="17.25" x14ac:dyDescent="0.4">
      <c r="B18" t="s">
        <v>6</v>
      </c>
      <c r="C18" s="9"/>
      <c r="D18" s="12">
        <f>-$F$9</f>
        <v>-375586.0822822398</v>
      </c>
      <c r="E18" s="12">
        <f t="shared" ref="E18:M18" si="2">-$F$9</f>
        <v>-375586.0822822398</v>
      </c>
      <c r="F18" s="12">
        <f t="shared" si="2"/>
        <v>-375586.0822822398</v>
      </c>
      <c r="G18" s="12">
        <f t="shared" si="2"/>
        <v>-375586.0822822398</v>
      </c>
      <c r="H18" s="12">
        <f t="shared" si="2"/>
        <v>-375586.0822822398</v>
      </c>
      <c r="I18" s="12">
        <f t="shared" si="2"/>
        <v>-375586.0822822398</v>
      </c>
      <c r="J18" s="12">
        <f t="shared" si="2"/>
        <v>-375586.0822822398</v>
      </c>
      <c r="K18" s="12">
        <f t="shared" si="2"/>
        <v>-375586.0822822398</v>
      </c>
      <c r="L18" s="12">
        <f t="shared" si="2"/>
        <v>-375586.0822822398</v>
      </c>
      <c r="M18" s="12">
        <f t="shared" si="2"/>
        <v>-375586.0822822398</v>
      </c>
      <c r="N18" s="12"/>
    </row>
    <row r="19" spans="2:14" x14ac:dyDescent="0.25">
      <c r="B19" t="s">
        <v>7</v>
      </c>
      <c r="C19" s="9"/>
      <c r="D19" s="9">
        <f>SUM(D17:D18)</f>
        <v>174413.9177177602</v>
      </c>
      <c r="E19" s="9">
        <f t="shared" ref="E19:M19" si="3">SUM(E17:E18)</f>
        <v>185413.9177177602</v>
      </c>
      <c r="F19" s="9">
        <f t="shared" si="3"/>
        <v>196633.9177177602</v>
      </c>
      <c r="G19" s="9">
        <f t="shared" si="3"/>
        <v>208078.3177177601</v>
      </c>
      <c r="H19" s="9">
        <f t="shared" si="3"/>
        <v>219751.60571776016</v>
      </c>
      <c r="I19" s="9">
        <f t="shared" si="3"/>
        <v>231658.35947776015</v>
      </c>
      <c r="J19" s="9">
        <f t="shared" si="3"/>
        <v>243803.24831296026</v>
      </c>
      <c r="K19" s="9">
        <f t="shared" si="3"/>
        <v>256191.03492486407</v>
      </c>
      <c r="L19" s="9">
        <f t="shared" si="3"/>
        <v>268826.57726900629</v>
      </c>
      <c r="M19" s="9">
        <f t="shared" si="3"/>
        <v>281714.83046003117</v>
      </c>
    </row>
    <row r="20" spans="2:14" x14ac:dyDescent="0.25">
      <c r="C20" s="9"/>
    </row>
    <row r="21" spans="2:14" x14ac:dyDescent="0.25">
      <c r="B21" t="s">
        <v>8</v>
      </c>
      <c r="C21" s="9"/>
      <c r="M21" s="9">
        <f>N17/$C$7</f>
        <v>11174115.516618608</v>
      </c>
    </row>
    <row r="22" spans="2:14" x14ac:dyDescent="0.25">
      <c r="B22" t="s">
        <v>9</v>
      </c>
      <c r="C22" s="9"/>
      <c r="M22" s="9">
        <f>-F10</f>
        <v>-4843345.0658391006</v>
      </c>
    </row>
    <row r="23" spans="2:14" x14ac:dyDescent="0.25">
      <c r="B23" t="s">
        <v>10</v>
      </c>
      <c r="C23" s="9"/>
      <c r="M23" s="9">
        <f>SUM(M21:M22)</f>
        <v>6330770.4507795069</v>
      </c>
    </row>
    <row r="24" spans="2:14" x14ac:dyDescent="0.25">
      <c r="C24" s="9"/>
    </row>
    <row r="25" spans="2:14" x14ac:dyDescent="0.25">
      <c r="B25" t="s">
        <v>26</v>
      </c>
      <c r="C25" s="9">
        <f>C13+C17+C21</f>
        <v>-10000000</v>
      </c>
      <c r="D25" s="9">
        <f t="shared" ref="D25:M25" si="4">D13+D17+D21</f>
        <v>550000</v>
      </c>
      <c r="E25" s="9">
        <f t="shared" si="4"/>
        <v>561000</v>
      </c>
      <c r="F25" s="9">
        <f t="shared" si="4"/>
        <v>572220</v>
      </c>
      <c r="G25" s="9">
        <f t="shared" si="4"/>
        <v>583664.39999999991</v>
      </c>
      <c r="H25" s="9">
        <f t="shared" si="4"/>
        <v>595337.68799999997</v>
      </c>
      <c r="I25" s="9">
        <f t="shared" si="4"/>
        <v>607244.44175999996</v>
      </c>
      <c r="J25" s="9">
        <f t="shared" si="4"/>
        <v>619389.33059520007</v>
      </c>
      <c r="K25" s="9">
        <f t="shared" si="4"/>
        <v>631777.11720710387</v>
      </c>
      <c r="L25" s="9">
        <f t="shared" si="4"/>
        <v>644412.65955124609</v>
      </c>
      <c r="M25" s="9">
        <f t="shared" si="4"/>
        <v>11831416.429360878</v>
      </c>
    </row>
    <row r="26" spans="2:14" x14ac:dyDescent="0.25">
      <c r="B26" s="13" t="s">
        <v>24</v>
      </c>
      <c r="C26" s="14">
        <f>IRR(C25:M25)</f>
        <v>6.8153591412039249E-2</v>
      </c>
    </row>
    <row r="27" spans="2:14" x14ac:dyDescent="0.25">
      <c r="C27" s="9"/>
    </row>
    <row r="28" spans="2:14" x14ac:dyDescent="0.25">
      <c r="B28" t="s">
        <v>11</v>
      </c>
      <c r="C28" s="9">
        <f>C23+C19+C15</f>
        <v>-4000000</v>
      </c>
      <c r="D28" s="9">
        <f t="shared" ref="D28:M28" si="5">D23+D19+D15</f>
        <v>174413.9177177602</v>
      </c>
      <c r="E28" s="9">
        <f t="shared" si="5"/>
        <v>185413.9177177602</v>
      </c>
      <c r="F28" s="9">
        <f t="shared" si="5"/>
        <v>196633.9177177602</v>
      </c>
      <c r="G28" s="9">
        <f t="shared" si="5"/>
        <v>208078.3177177601</v>
      </c>
      <c r="H28" s="9">
        <f t="shared" si="5"/>
        <v>219751.60571776016</v>
      </c>
      <c r="I28" s="9">
        <f t="shared" si="5"/>
        <v>231658.35947776015</v>
      </c>
      <c r="J28" s="9">
        <f t="shared" si="5"/>
        <v>243803.24831296026</v>
      </c>
      <c r="K28" s="9">
        <f t="shared" si="5"/>
        <v>256191.03492486407</v>
      </c>
      <c r="L28" s="9">
        <f t="shared" si="5"/>
        <v>268826.57726900629</v>
      </c>
      <c r="M28" s="9">
        <f t="shared" si="5"/>
        <v>6612485.2812395385</v>
      </c>
    </row>
    <row r="29" spans="2:14" x14ac:dyDescent="0.25">
      <c r="B29" s="13" t="s">
        <v>24</v>
      </c>
      <c r="C29" s="14">
        <f>IRR(C28:M28)</f>
        <v>9.2432918196097003E-2</v>
      </c>
    </row>
  </sheetData>
  <dataConsolidate/>
  <dataValidations count="1">
    <dataValidation type="list" allowBlank="1" showInputMessage="1" showErrorMessage="1" sqref="F6" xr:uid="{85710A86-32F7-4BDE-9E9F-21A47F2E7B50}">
      <formula1>"Yes, No"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C9D6C-5D5F-4F01-A22E-ED0F13BDFDE5}">
  <dimension ref="B1:N29"/>
  <sheetViews>
    <sheetView workbookViewId="0"/>
  </sheetViews>
  <sheetFormatPr defaultRowHeight="15" x14ac:dyDescent="0.25"/>
  <cols>
    <col min="1" max="1" width="3" customWidth="1"/>
    <col min="2" max="2" width="23.7109375" bestFit="1" customWidth="1"/>
    <col min="3" max="3" width="12.28515625" style="8" bestFit="1" customWidth="1"/>
    <col min="4" max="4" width="10.28515625" style="9" bestFit="1" customWidth="1"/>
    <col min="5" max="5" width="11" style="9" bestFit="1" customWidth="1"/>
    <col min="6" max="6" width="11.85546875" style="9" bestFit="1" customWidth="1"/>
    <col min="7" max="12" width="9.85546875" style="9" bestFit="1" customWidth="1"/>
    <col min="13" max="13" width="11.7109375" style="9" bestFit="1" customWidth="1"/>
    <col min="14" max="14" width="10.7109375" style="9" bestFit="1" customWidth="1"/>
  </cols>
  <sheetData>
    <row r="1" spans="2:14" x14ac:dyDescent="0.25">
      <c r="C1"/>
      <c r="D1"/>
      <c r="E1"/>
      <c r="F1"/>
      <c r="G1"/>
      <c r="H1"/>
      <c r="I1"/>
      <c r="J1"/>
      <c r="K1"/>
      <c r="L1"/>
      <c r="M1"/>
      <c r="N1"/>
    </row>
    <row r="2" spans="2:14" x14ac:dyDescent="0.2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4" x14ac:dyDescent="0.25">
      <c r="C3"/>
      <c r="D3"/>
      <c r="E3"/>
      <c r="F3"/>
      <c r="G3"/>
      <c r="H3"/>
      <c r="I3"/>
      <c r="J3"/>
      <c r="K3"/>
      <c r="L3"/>
      <c r="M3"/>
      <c r="N3"/>
    </row>
    <row r="4" spans="2:14" x14ac:dyDescent="0.25">
      <c r="B4" s="4" t="s">
        <v>12</v>
      </c>
      <c r="C4"/>
      <c r="D4"/>
      <c r="E4" s="4" t="s">
        <v>15</v>
      </c>
      <c r="F4"/>
      <c r="G4"/>
      <c r="H4"/>
      <c r="I4" s="17" t="s">
        <v>28</v>
      </c>
      <c r="J4"/>
      <c r="K4"/>
      <c r="L4"/>
      <c r="M4"/>
      <c r="N4"/>
    </row>
    <row r="5" spans="2:14" x14ac:dyDescent="0.25">
      <c r="B5" s="6" t="s">
        <v>19</v>
      </c>
      <c r="C5" s="18">
        <v>10000000</v>
      </c>
      <c r="D5"/>
      <c r="E5" s="6" t="s">
        <v>18</v>
      </c>
      <c r="F5" s="7">
        <f>C5*G5</f>
        <v>8000000</v>
      </c>
      <c r="G5" s="3">
        <v>0.8</v>
      </c>
      <c r="H5"/>
      <c r="I5" t="s">
        <v>29</v>
      </c>
      <c r="J5"/>
      <c r="K5" s="11">
        <f>-M22/M21</f>
        <v>0.71594033443649907</v>
      </c>
      <c r="L5"/>
      <c r="M5"/>
      <c r="N5"/>
    </row>
    <row r="6" spans="2:14" x14ac:dyDescent="0.25">
      <c r="B6" t="s">
        <v>1</v>
      </c>
      <c r="C6" s="5">
        <v>0.02</v>
      </c>
      <c r="D6"/>
      <c r="E6" t="s">
        <v>20</v>
      </c>
      <c r="F6" s="10" t="s">
        <v>27</v>
      </c>
      <c r="G6"/>
      <c r="H6"/>
      <c r="I6"/>
      <c r="J6"/>
      <c r="K6"/>
      <c r="L6"/>
      <c r="M6"/>
      <c r="N6"/>
    </row>
    <row r="7" spans="2:14" x14ac:dyDescent="0.25">
      <c r="B7" t="s">
        <v>13</v>
      </c>
      <c r="C7" s="5">
        <v>0.06</v>
      </c>
      <c r="D7"/>
      <c r="E7" t="s">
        <v>16</v>
      </c>
      <c r="F7" s="19">
        <v>30</v>
      </c>
      <c r="G7"/>
      <c r="H7"/>
      <c r="I7"/>
      <c r="J7"/>
      <c r="K7"/>
      <c r="L7"/>
      <c r="M7"/>
      <c r="N7"/>
    </row>
    <row r="8" spans="2:14" x14ac:dyDescent="0.25">
      <c r="B8" t="s">
        <v>14</v>
      </c>
      <c r="C8" s="5">
        <v>0</v>
      </c>
      <c r="D8"/>
      <c r="E8" t="s">
        <v>17</v>
      </c>
      <c r="F8" s="20">
        <v>4.7500000000000001E-2</v>
      </c>
      <c r="G8"/>
      <c r="H8"/>
      <c r="I8"/>
      <c r="J8"/>
      <c r="K8"/>
      <c r="L8"/>
      <c r="M8"/>
      <c r="N8"/>
    </row>
    <row r="9" spans="2:14" x14ac:dyDescent="0.25">
      <c r="C9"/>
      <c r="D9"/>
      <c r="E9" t="s">
        <v>22</v>
      </c>
      <c r="F9" s="7">
        <f>IF(F6="Yes",F5*F8,PMT(F8/12,F7*12,-F5)*12)</f>
        <v>380000</v>
      </c>
      <c r="G9"/>
      <c r="H9"/>
      <c r="I9"/>
      <c r="J9"/>
      <c r="K9"/>
      <c r="L9"/>
      <c r="M9"/>
      <c r="N9"/>
    </row>
    <row r="10" spans="2:14" x14ac:dyDescent="0.25">
      <c r="C10"/>
      <c r="D10"/>
      <c r="E10" t="s">
        <v>23</v>
      </c>
      <c r="F10" s="7">
        <f>IF(F6="Yes",F5,PV(F8/12,F7*12-120,-F9/12))</f>
        <v>8000000</v>
      </c>
      <c r="G10"/>
      <c r="H10"/>
      <c r="I10"/>
      <c r="J10"/>
      <c r="K10"/>
      <c r="L10"/>
      <c r="M10"/>
      <c r="N10"/>
    </row>
    <row r="11" spans="2:14" x14ac:dyDescent="0.25">
      <c r="C11"/>
      <c r="D11"/>
      <c r="E11"/>
      <c r="F11"/>
      <c r="G11"/>
      <c r="H11"/>
      <c r="I11"/>
      <c r="J11"/>
      <c r="K11"/>
      <c r="L11"/>
      <c r="M11"/>
      <c r="N11"/>
    </row>
    <row r="12" spans="2:14" x14ac:dyDescent="0.25">
      <c r="B12" s="15" t="s">
        <v>2</v>
      </c>
      <c r="C12" s="16">
        <v>0</v>
      </c>
      <c r="D12" s="16">
        <f>C12+1</f>
        <v>1</v>
      </c>
      <c r="E12" s="16">
        <f t="shared" ref="E12:M12" si="0">D12+1</f>
        <v>2</v>
      </c>
      <c r="F12" s="16">
        <f t="shared" si="0"/>
        <v>3</v>
      </c>
      <c r="G12" s="16">
        <f t="shared" si="0"/>
        <v>4</v>
      </c>
      <c r="H12" s="16">
        <f t="shared" si="0"/>
        <v>5</v>
      </c>
      <c r="I12" s="16">
        <f t="shared" si="0"/>
        <v>6</v>
      </c>
      <c r="J12" s="16">
        <f t="shared" si="0"/>
        <v>7</v>
      </c>
      <c r="K12" s="16">
        <f t="shared" si="0"/>
        <v>8</v>
      </c>
      <c r="L12" s="16">
        <f t="shared" si="0"/>
        <v>9</v>
      </c>
      <c r="M12" s="16">
        <f t="shared" si="0"/>
        <v>10</v>
      </c>
      <c r="N12" s="16">
        <v>11</v>
      </c>
    </row>
    <row r="13" spans="2:14" x14ac:dyDescent="0.25">
      <c r="B13" t="s">
        <v>3</v>
      </c>
      <c r="C13" s="9">
        <f>-C5</f>
        <v>-10000000</v>
      </c>
    </row>
    <row r="14" spans="2:14" ht="17.25" x14ac:dyDescent="0.4">
      <c r="B14" t="s">
        <v>4</v>
      </c>
      <c r="C14" s="12">
        <f>F5</f>
        <v>8000000</v>
      </c>
    </row>
    <row r="15" spans="2:14" x14ac:dyDescent="0.25">
      <c r="B15" t="s">
        <v>25</v>
      </c>
      <c r="C15" s="9">
        <f>SUM(C13:C14)</f>
        <v>-2000000</v>
      </c>
    </row>
    <row r="16" spans="2:14" x14ac:dyDescent="0.25">
      <c r="C16" s="9"/>
    </row>
    <row r="17" spans="2:14" x14ac:dyDescent="0.25">
      <c r="B17" t="s">
        <v>5</v>
      </c>
      <c r="C17" s="9"/>
      <c r="D17" s="9">
        <f>($C$5*0.055*(1+$C$6)^(D12-1))*(1-$C$8)</f>
        <v>550000</v>
      </c>
      <c r="E17" s="9">
        <f t="shared" ref="E17:N17" si="1">($C$5*0.055*(1+$C$6)^(E12-1))*(1-$C$8)</f>
        <v>561000</v>
      </c>
      <c r="F17" s="9">
        <f t="shared" si="1"/>
        <v>572220</v>
      </c>
      <c r="G17" s="9">
        <f t="shared" si="1"/>
        <v>583664.39999999991</v>
      </c>
      <c r="H17" s="9">
        <f t="shared" si="1"/>
        <v>595337.68799999997</v>
      </c>
      <c r="I17" s="9">
        <f t="shared" si="1"/>
        <v>607244.44175999996</v>
      </c>
      <c r="J17" s="9">
        <f t="shared" si="1"/>
        <v>619389.33059520007</v>
      </c>
      <c r="K17" s="9">
        <f t="shared" si="1"/>
        <v>631777.11720710387</v>
      </c>
      <c r="L17" s="9">
        <f t="shared" si="1"/>
        <v>644412.65955124609</v>
      </c>
      <c r="M17" s="9">
        <f t="shared" si="1"/>
        <v>657300.91274227097</v>
      </c>
      <c r="N17" s="9">
        <f t="shared" si="1"/>
        <v>670446.93099711637</v>
      </c>
    </row>
    <row r="18" spans="2:14" ht="17.25" x14ac:dyDescent="0.4">
      <c r="B18" t="s">
        <v>6</v>
      </c>
      <c r="C18" s="9"/>
      <c r="D18" s="12">
        <f>-$F$9</f>
        <v>-380000</v>
      </c>
      <c r="E18" s="12">
        <f t="shared" ref="E18:M18" si="2">-$F$9</f>
        <v>-380000</v>
      </c>
      <c r="F18" s="12">
        <f t="shared" si="2"/>
        <v>-380000</v>
      </c>
      <c r="G18" s="12">
        <f t="shared" si="2"/>
        <v>-380000</v>
      </c>
      <c r="H18" s="12">
        <f t="shared" si="2"/>
        <v>-380000</v>
      </c>
      <c r="I18" s="12">
        <f t="shared" si="2"/>
        <v>-380000</v>
      </c>
      <c r="J18" s="12">
        <f t="shared" si="2"/>
        <v>-380000</v>
      </c>
      <c r="K18" s="12">
        <f t="shared" si="2"/>
        <v>-380000</v>
      </c>
      <c r="L18" s="12">
        <f t="shared" si="2"/>
        <v>-380000</v>
      </c>
      <c r="M18" s="12">
        <f t="shared" si="2"/>
        <v>-380000</v>
      </c>
      <c r="N18" s="12"/>
    </row>
    <row r="19" spans="2:14" x14ac:dyDescent="0.25">
      <c r="B19" t="s">
        <v>7</v>
      </c>
      <c r="C19" s="9"/>
      <c r="D19" s="9">
        <f>SUM(D17:D18)</f>
        <v>170000</v>
      </c>
      <c r="E19" s="9">
        <f t="shared" ref="E19:M19" si="3">SUM(E17:E18)</f>
        <v>181000</v>
      </c>
      <c r="F19" s="9">
        <f t="shared" si="3"/>
        <v>192220</v>
      </c>
      <c r="G19" s="9">
        <f t="shared" si="3"/>
        <v>203664.39999999991</v>
      </c>
      <c r="H19" s="9">
        <f t="shared" si="3"/>
        <v>215337.68799999997</v>
      </c>
      <c r="I19" s="9">
        <f t="shared" si="3"/>
        <v>227244.44175999996</v>
      </c>
      <c r="J19" s="9">
        <f t="shared" si="3"/>
        <v>239389.33059520007</v>
      </c>
      <c r="K19" s="9">
        <f t="shared" si="3"/>
        <v>251777.11720710387</v>
      </c>
      <c r="L19" s="9">
        <f t="shared" si="3"/>
        <v>264412.65955124609</v>
      </c>
      <c r="M19" s="9">
        <f t="shared" si="3"/>
        <v>277300.91274227097</v>
      </c>
    </row>
    <row r="20" spans="2:14" x14ac:dyDescent="0.25">
      <c r="C20" s="9"/>
    </row>
    <row r="21" spans="2:14" x14ac:dyDescent="0.25">
      <c r="B21" t="s">
        <v>8</v>
      </c>
      <c r="C21" s="9"/>
      <c r="M21" s="9">
        <f>N17/$C$7</f>
        <v>11174115.516618608</v>
      </c>
    </row>
    <row r="22" spans="2:14" x14ac:dyDescent="0.25">
      <c r="B22" t="s">
        <v>9</v>
      </c>
      <c r="C22" s="9"/>
      <c r="M22" s="9">
        <f>-F10</f>
        <v>-8000000</v>
      </c>
    </row>
    <row r="23" spans="2:14" x14ac:dyDescent="0.25">
      <c r="B23" t="s">
        <v>10</v>
      </c>
      <c r="C23" s="9"/>
      <c r="M23" s="9">
        <f>SUM(M21:M22)</f>
        <v>3174115.5166186076</v>
      </c>
    </row>
    <row r="24" spans="2:14" x14ac:dyDescent="0.25">
      <c r="C24" s="9"/>
    </row>
    <row r="25" spans="2:14" x14ac:dyDescent="0.25">
      <c r="B25" t="s">
        <v>26</v>
      </c>
      <c r="C25" s="9">
        <f>C13+C17+C21</f>
        <v>-10000000</v>
      </c>
      <c r="D25" s="9">
        <f t="shared" ref="D25:M25" si="4">D13+D17+D21</f>
        <v>550000</v>
      </c>
      <c r="E25" s="9">
        <f t="shared" si="4"/>
        <v>561000</v>
      </c>
      <c r="F25" s="9">
        <f t="shared" si="4"/>
        <v>572220</v>
      </c>
      <c r="G25" s="9">
        <f t="shared" si="4"/>
        <v>583664.39999999991</v>
      </c>
      <c r="H25" s="9">
        <f t="shared" si="4"/>
        <v>595337.68799999997</v>
      </c>
      <c r="I25" s="9">
        <f t="shared" si="4"/>
        <v>607244.44175999996</v>
      </c>
      <c r="J25" s="9">
        <f t="shared" si="4"/>
        <v>619389.33059520007</v>
      </c>
      <c r="K25" s="9">
        <f t="shared" si="4"/>
        <v>631777.11720710387</v>
      </c>
      <c r="L25" s="9">
        <f t="shared" si="4"/>
        <v>644412.65955124609</v>
      </c>
      <c r="M25" s="9">
        <f t="shared" si="4"/>
        <v>11831416.429360878</v>
      </c>
    </row>
    <row r="26" spans="2:14" x14ac:dyDescent="0.25">
      <c r="B26" s="13" t="s">
        <v>24</v>
      </c>
      <c r="C26" s="14">
        <f>IRR(C25:M25)</f>
        <v>6.8153591412039249E-2</v>
      </c>
    </row>
    <row r="27" spans="2:14" x14ac:dyDescent="0.25">
      <c r="C27" s="9"/>
    </row>
    <row r="28" spans="2:14" x14ac:dyDescent="0.25">
      <c r="B28" t="s">
        <v>11</v>
      </c>
      <c r="C28" s="9">
        <f>C23+C19+C15</f>
        <v>-2000000</v>
      </c>
      <c r="D28" s="9">
        <f t="shared" ref="D28:M28" si="5">D23+D19+D15</f>
        <v>170000</v>
      </c>
      <c r="E28" s="9">
        <f t="shared" si="5"/>
        <v>181000</v>
      </c>
      <c r="F28" s="9">
        <f t="shared" si="5"/>
        <v>192220</v>
      </c>
      <c r="G28" s="9">
        <f t="shared" si="5"/>
        <v>203664.39999999991</v>
      </c>
      <c r="H28" s="9">
        <f t="shared" si="5"/>
        <v>215337.68799999997</v>
      </c>
      <c r="I28" s="9">
        <f t="shared" si="5"/>
        <v>227244.44175999996</v>
      </c>
      <c r="J28" s="9">
        <f t="shared" si="5"/>
        <v>239389.33059520007</v>
      </c>
      <c r="K28" s="9">
        <f t="shared" si="5"/>
        <v>251777.11720710387</v>
      </c>
      <c r="L28" s="9">
        <f t="shared" si="5"/>
        <v>264412.65955124609</v>
      </c>
      <c r="M28" s="9">
        <f t="shared" si="5"/>
        <v>3451416.4293608787</v>
      </c>
    </row>
    <row r="29" spans="2:14" x14ac:dyDescent="0.25">
      <c r="B29" s="13" t="s">
        <v>24</v>
      </c>
      <c r="C29" s="14">
        <f>IRR(C28:M28)</f>
        <v>0.13599464659137306</v>
      </c>
    </row>
  </sheetData>
  <dataConsolidate/>
  <dataValidations count="1">
    <dataValidation type="list" allowBlank="1" showInputMessage="1" showErrorMessage="1" sqref="F6" xr:uid="{8B926C5A-5417-4ABF-A3F4-D642E8A71F4E}">
      <formula1>"Yes, No"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A20F0-800F-4E44-BCC2-3435E7FC7E0C}">
  <dimension ref="B1:N29"/>
  <sheetViews>
    <sheetView workbookViewId="0"/>
  </sheetViews>
  <sheetFormatPr defaultRowHeight="15" x14ac:dyDescent="0.25"/>
  <cols>
    <col min="1" max="1" width="3" customWidth="1"/>
    <col min="2" max="2" width="23.7109375" bestFit="1" customWidth="1"/>
    <col min="3" max="3" width="12.28515625" style="8" bestFit="1" customWidth="1"/>
    <col min="4" max="4" width="10.28515625" style="9" bestFit="1" customWidth="1"/>
    <col min="5" max="5" width="11" style="9" bestFit="1" customWidth="1"/>
    <col min="6" max="6" width="11.85546875" style="9" bestFit="1" customWidth="1"/>
    <col min="7" max="12" width="9.85546875" style="9" bestFit="1" customWidth="1"/>
    <col min="13" max="13" width="11.7109375" style="9" bestFit="1" customWidth="1"/>
    <col min="14" max="14" width="10.7109375" style="9" bestFit="1" customWidth="1"/>
  </cols>
  <sheetData>
    <row r="1" spans="2:14" x14ac:dyDescent="0.25">
      <c r="C1"/>
      <c r="D1"/>
      <c r="E1"/>
      <c r="F1"/>
      <c r="G1"/>
      <c r="H1"/>
      <c r="I1"/>
      <c r="J1"/>
      <c r="K1"/>
      <c r="L1"/>
      <c r="M1"/>
      <c r="N1"/>
    </row>
    <row r="2" spans="2:14" x14ac:dyDescent="0.2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4" x14ac:dyDescent="0.25">
      <c r="C3"/>
      <c r="D3"/>
      <c r="E3"/>
      <c r="F3"/>
      <c r="G3"/>
      <c r="H3"/>
      <c r="I3"/>
      <c r="J3"/>
      <c r="K3"/>
      <c r="L3"/>
      <c r="M3"/>
      <c r="N3"/>
    </row>
    <row r="4" spans="2:14" x14ac:dyDescent="0.25">
      <c r="B4" s="4" t="s">
        <v>12</v>
      </c>
      <c r="C4"/>
      <c r="D4"/>
      <c r="E4" s="4" t="s">
        <v>15</v>
      </c>
      <c r="F4"/>
      <c r="G4"/>
      <c r="H4"/>
      <c r="I4" s="17" t="s">
        <v>28</v>
      </c>
      <c r="J4"/>
      <c r="K4"/>
      <c r="L4"/>
      <c r="M4"/>
      <c r="N4"/>
    </row>
    <row r="5" spans="2:14" x14ac:dyDescent="0.25">
      <c r="B5" s="6" t="s">
        <v>19</v>
      </c>
      <c r="C5" s="18">
        <v>10000000</v>
      </c>
      <c r="D5"/>
      <c r="E5" s="6" t="s">
        <v>18</v>
      </c>
      <c r="F5" s="7">
        <f>C5*G5</f>
        <v>6000000</v>
      </c>
      <c r="G5" s="3">
        <v>0.6</v>
      </c>
      <c r="H5"/>
      <c r="I5" t="s">
        <v>29</v>
      </c>
      <c r="J5"/>
      <c r="K5" s="11">
        <f>-M22/M21</f>
        <v>0.72727272727272729</v>
      </c>
      <c r="L5"/>
      <c r="M5"/>
      <c r="N5"/>
    </row>
    <row r="6" spans="2:14" x14ac:dyDescent="0.25">
      <c r="B6" t="s">
        <v>1</v>
      </c>
      <c r="C6" s="5">
        <v>0</v>
      </c>
      <c r="D6"/>
      <c r="E6" t="s">
        <v>20</v>
      </c>
      <c r="F6" s="10" t="s">
        <v>27</v>
      </c>
      <c r="G6"/>
      <c r="H6"/>
      <c r="I6"/>
      <c r="J6"/>
      <c r="K6"/>
      <c r="L6"/>
      <c r="M6"/>
      <c r="N6"/>
    </row>
    <row r="7" spans="2:14" x14ac:dyDescent="0.25">
      <c r="B7" t="s">
        <v>13</v>
      </c>
      <c r="C7" s="5">
        <v>0.06</v>
      </c>
      <c r="D7"/>
      <c r="E7" t="s">
        <v>16</v>
      </c>
      <c r="F7" s="19">
        <v>30</v>
      </c>
      <c r="G7"/>
      <c r="H7"/>
      <c r="I7"/>
      <c r="J7"/>
      <c r="K7"/>
      <c r="L7"/>
      <c r="M7"/>
      <c r="N7"/>
    </row>
    <row r="8" spans="2:14" x14ac:dyDescent="0.25">
      <c r="B8" t="s">
        <v>14</v>
      </c>
      <c r="C8" s="5">
        <v>0.1</v>
      </c>
      <c r="D8"/>
      <c r="E8" t="s">
        <v>17</v>
      </c>
      <c r="F8" s="20">
        <v>4.7500000000000001E-2</v>
      </c>
      <c r="G8"/>
      <c r="H8"/>
      <c r="I8"/>
      <c r="J8"/>
      <c r="K8"/>
      <c r="L8"/>
      <c r="M8"/>
      <c r="N8"/>
    </row>
    <row r="9" spans="2:14" x14ac:dyDescent="0.25">
      <c r="C9"/>
      <c r="D9"/>
      <c r="E9" t="s">
        <v>22</v>
      </c>
      <c r="F9" s="7">
        <f>IF(F6="Yes",F5*F8,PMT(F8/12,F7*12,-F5)*12)</f>
        <v>285000</v>
      </c>
      <c r="G9"/>
      <c r="H9"/>
      <c r="I9"/>
      <c r="J9"/>
      <c r="K9"/>
      <c r="L9"/>
      <c r="M9"/>
      <c r="N9"/>
    </row>
    <row r="10" spans="2:14" x14ac:dyDescent="0.25">
      <c r="C10"/>
      <c r="D10"/>
      <c r="E10" t="s">
        <v>23</v>
      </c>
      <c r="F10" s="7">
        <f>IF(F6="Yes",F5,PV(F8/12,F7*12-120,-F9/12))</f>
        <v>6000000</v>
      </c>
      <c r="G10"/>
      <c r="H10"/>
      <c r="I10"/>
      <c r="J10"/>
      <c r="K10"/>
      <c r="L10"/>
      <c r="M10"/>
      <c r="N10"/>
    </row>
    <row r="11" spans="2:14" x14ac:dyDescent="0.25">
      <c r="C11"/>
      <c r="D11"/>
      <c r="E11"/>
      <c r="F11"/>
      <c r="G11"/>
      <c r="H11"/>
      <c r="I11"/>
      <c r="J11"/>
      <c r="K11"/>
      <c r="L11"/>
      <c r="M11"/>
      <c r="N11"/>
    </row>
    <row r="12" spans="2:14" x14ac:dyDescent="0.25">
      <c r="B12" s="15" t="s">
        <v>2</v>
      </c>
      <c r="C12" s="16">
        <v>0</v>
      </c>
      <c r="D12" s="16">
        <f>C12+1</f>
        <v>1</v>
      </c>
      <c r="E12" s="16">
        <f t="shared" ref="E12:M12" si="0">D12+1</f>
        <v>2</v>
      </c>
      <c r="F12" s="16">
        <f t="shared" si="0"/>
        <v>3</v>
      </c>
      <c r="G12" s="16">
        <f t="shared" si="0"/>
        <v>4</v>
      </c>
      <c r="H12" s="16">
        <f t="shared" si="0"/>
        <v>5</v>
      </c>
      <c r="I12" s="16">
        <f t="shared" si="0"/>
        <v>6</v>
      </c>
      <c r="J12" s="16">
        <f t="shared" si="0"/>
        <v>7</v>
      </c>
      <c r="K12" s="16">
        <f t="shared" si="0"/>
        <v>8</v>
      </c>
      <c r="L12" s="16">
        <f t="shared" si="0"/>
        <v>9</v>
      </c>
      <c r="M12" s="16">
        <f t="shared" si="0"/>
        <v>10</v>
      </c>
      <c r="N12" s="16">
        <v>11</v>
      </c>
    </row>
    <row r="13" spans="2:14" x14ac:dyDescent="0.25">
      <c r="B13" t="s">
        <v>3</v>
      </c>
      <c r="C13" s="9">
        <f>-C5</f>
        <v>-10000000</v>
      </c>
    </row>
    <row r="14" spans="2:14" ht="17.25" x14ac:dyDescent="0.4">
      <c r="B14" t="s">
        <v>4</v>
      </c>
      <c r="C14" s="12">
        <f>F5</f>
        <v>6000000</v>
      </c>
    </row>
    <row r="15" spans="2:14" x14ac:dyDescent="0.25">
      <c r="B15" t="s">
        <v>25</v>
      </c>
      <c r="C15" s="9">
        <f>SUM(C13:C14)</f>
        <v>-4000000</v>
      </c>
    </row>
    <row r="16" spans="2:14" x14ac:dyDescent="0.25">
      <c r="C16" s="9"/>
    </row>
    <row r="17" spans="2:14" x14ac:dyDescent="0.25">
      <c r="B17" t="s">
        <v>5</v>
      </c>
      <c r="C17" s="9"/>
      <c r="D17" s="9">
        <f>($C$5*0.055*(1+$C$6)^(D12-1))*(1-$C$8)</f>
        <v>495000</v>
      </c>
      <c r="E17" s="9">
        <f t="shared" ref="E17:N17" si="1">($C$5*0.055*(1+$C$6)^(E12-1))*(1-$C$8)</f>
        <v>495000</v>
      </c>
      <c r="F17" s="9">
        <f t="shared" si="1"/>
        <v>495000</v>
      </c>
      <c r="G17" s="9">
        <f t="shared" si="1"/>
        <v>495000</v>
      </c>
      <c r="H17" s="9">
        <f t="shared" si="1"/>
        <v>495000</v>
      </c>
      <c r="I17" s="9">
        <f t="shared" si="1"/>
        <v>495000</v>
      </c>
      <c r="J17" s="9">
        <f t="shared" si="1"/>
        <v>495000</v>
      </c>
      <c r="K17" s="9">
        <f t="shared" si="1"/>
        <v>495000</v>
      </c>
      <c r="L17" s="9">
        <f t="shared" si="1"/>
        <v>495000</v>
      </c>
      <c r="M17" s="9">
        <f t="shared" si="1"/>
        <v>495000</v>
      </c>
      <c r="N17" s="9">
        <f t="shared" si="1"/>
        <v>495000</v>
      </c>
    </row>
    <row r="18" spans="2:14" ht="17.25" x14ac:dyDescent="0.4">
      <c r="B18" t="s">
        <v>6</v>
      </c>
      <c r="C18" s="9"/>
      <c r="D18" s="12">
        <f>-$F$9</f>
        <v>-285000</v>
      </c>
      <c r="E18" s="12">
        <f t="shared" ref="E18:M18" si="2">-$F$9</f>
        <v>-285000</v>
      </c>
      <c r="F18" s="12">
        <f t="shared" si="2"/>
        <v>-285000</v>
      </c>
      <c r="G18" s="12">
        <f t="shared" si="2"/>
        <v>-285000</v>
      </c>
      <c r="H18" s="12">
        <f t="shared" si="2"/>
        <v>-285000</v>
      </c>
      <c r="I18" s="12">
        <f t="shared" si="2"/>
        <v>-285000</v>
      </c>
      <c r="J18" s="12">
        <f t="shared" si="2"/>
        <v>-285000</v>
      </c>
      <c r="K18" s="12">
        <f t="shared" si="2"/>
        <v>-285000</v>
      </c>
      <c r="L18" s="12">
        <f t="shared" si="2"/>
        <v>-285000</v>
      </c>
      <c r="M18" s="12">
        <f t="shared" si="2"/>
        <v>-285000</v>
      </c>
      <c r="N18" s="12"/>
    </row>
    <row r="19" spans="2:14" x14ac:dyDescent="0.25">
      <c r="B19" t="s">
        <v>7</v>
      </c>
      <c r="C19" s="9"/>
      <c r="D19" s="9">
        <f>SUM(D17:D18)</f>
        <v>210000</v>
      </c>
      <c r="E19" s="9">
        <f t="shared" ref="E19:M19" si="3">SUM(E17:E18)</f>
        <v>210000</v>
      </c>
      <c r="F19" s="9">
        <f t="shared" si="3"/>
        <v>210000</v>
      </c>
      <c r="G19" s="9">
        <f t="shared" si="3"/>
        <v>210000</v>
      </c>
      <c r="H19" s="9">
        <f t="shared" si="3"/>
        <v>210000</v>
      </c>
      <c r="I19" s="9">
        <f t="shared" si="3"/>
        <v>210000</v>
      </c>
      <c r="J19" s="9">
        <f t="shared" si="3"/>
        <v>210000</v>
      </c>
      <c r="K19" s="9">
        <f t="shared" si="3"/>
        <v>210000</v>
      </c>
      <c r="L19" s="9">
        <f t="shared" si="3"/>
        <v>210000</v>
      </c>
      <c r="M19" s="9">
        <f t="shared" si="3"/>
        <v>210000</v>
      </c>
    </row>
    <row r="20" spans="2:14" x14ac:dyDescent="0.25">
      <c r="C20" s="9"/>
    </row>
    <row r="21" spans="2:14" x14ac:dyDescent="0.25">
      <c r="B21" t="s">
        <v>8</v>
      </c>
      <c r="C21" s="9"/>
      <c r="M21" s="9">
        <f>N17/$C$7</f>
        <v>8250000</v>
      </c>
    </row>
    <row r="22" spans="2:14" x14ac:dyDescent="0.25">
      <c r="B22" t="s">
        <v>9</v>
      </c>
      <c r="C22" s="9"/>
      <c r="M22" s="9">
        <f>-F10</f>
        <v>-6000000</v>
      </c>
    </row>
    <row r="23" spans="2:14" x14ac:dyDescent="0.25">
      <c r="B23" t="s">
        <v>10</v>
      </c>
      <c r="C23" s="9"/>
      <c r="M23" s="9">
        <f>SUM(M21:M22)</f>
        <v>2250000</v>
      </c>
    </row>
    <row r="24" spans="2:14" x14ac:dyDescent="0.25">
      <c r="C24" s="9"/>
    </row>
    <row r="25" spans="2:14" x14ac:dyDescent="0.25">
      <c r="B25" t="s">
        <v>26</v>
      </c>
      <c r="C25" s="9">
        <f>C13+C17+C21</f>
        <v>-10000000</v>
      </c>
      <c r="D25" s="9">
        <f t="shared" ref="D25:M25" si="4">D13+D17+D21</f>
        <v>495000</v>
      </c>
      <c r="E25" s="9">
        <f t="shared" si="4"/>
        <v>495000</v>
      </c>
      <c r="F25" s="9">
        <f t="shared" si="4"/>
        <v>495000</v>
      </c>
      <c r="G25" s="9">
        <f t="shared" si="4"/>
        <v>495000</v>
      </c>
      <c r="H25" s="9">
        <f t="shared" si="4"/>
        <v>495000</v>
      </c>
      <c r="I25" s="9">
        <f t="shared" si="4"/>
        <v>495000</v>
      </c>
      <c r="J25" s="9">
        <f t="shared" si="4"/>
        <v>495000</v>
      </c>
      <c r="K25" s="9">
        <f t="shared" si="4"/>
        <v>495000</v>
      </c>
      <c r="L25" s="9">
        <f t="shared" si="4"/>
        <v>495000</v>
      </c>
      <c r="M25" s="9">
        <f t="shared" si="4"/>
        <v>8745000</v>
      </c>
    </row>
    <row r="26" spans="2:14" x14ac:dyDescent="0.25">
      <c r="B26" s="13" t="s">
        <v>24</v>
      </c>
      <c r="C26" s="14">
        <f>IRR(C25:M25)</f>
        <v>3.4551837064936031E-2</v>
      </c>
    </row>
    <row r="27" spans="2:14" x14ac:dyDescent="0.25">
      <c r="C27" s="9"/>
    </row>
    <row r="28" spans="2:14" x14ac:dyDescent="0.25">
      <c r="B28" t="s">
        <v>11</v>
      </c>
      <c r="C28" s="9">
        <f>C23+C19+C15</f>
        <v>-4000000</v>
      </c>
      <c r="D28" s="9">
        <f t="shared" ref="D28:M28" si="5">D23+D19+D15</f>
        <v>210000</v>
      </c>
      <c r="E28" s="9">
        <f t="shared" si="5"/>
        <v>210000</v>
      </c>
      <c r="F28" s="9">
        <f t="shared" si="5"/>
        <v>210000</v>
      </c>
      <c r="G28" s="9">
        <f t="shared" si="5"/>
        <v>210000</v>
      </c>
      <c r="H28" s="9">
        <f t="shared" si="5"/>
        <v>210000</v>
      </c>
      <c r="I28" s="9">
        <f t="shared" si="5"/>
        <v>210000</v>
      </c>
      <c r="J28" s="9">
        <f t="shared" si="5"/>
        <v>210000</v>
      </c>
      <c r="K28" s="9">
        <f t="shared" si="5"/>
        <v>210000</v>
      </c>
      <c r="L28" s="9">
        <f t="shared" si="5"/>
        <v>210000</v>
      </c>
      <c r="M28" s="9">
        <f t="shared" si="5"/>
        <v>2460000</v>
      </c>
    </row>
    <row r="29" spans="2:14" x14ac:dyDescent="0.25">
      <c r="B29" s="13" t="s">
        <v>24</v>
      </c>
      <c r="C29" s="14">
        <f>IRR(C28:M28)</f>
        <v>1.0842403917961096E-2</v>
      </c>
    </row>
  </sheetData>
  <dataConsolidate/>
  <dataValidations count="1">
    <dataValidation type="list" allowBlank="1" showInputMessage="1" showErrorMessage="1" sqref="F6" xr:uid="{78CAEB9F-9429-4CE8-A2CE-7A024F63FB5A}">
      <formula1>"Yes, No"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4CDF7-D00C-4931-B76B-BC6A5BE7D09E}">
  <dimension ref="B1:N29"/>
  <sheetViews>
    <sheetView workbookViewId="0"/>
  </sheetViews>
  <sheetFormatPr defaultRowHeight="15" x14ac:dyDescent="0.25"/>
  <cols>
    <col min="1" max="1" width="3" customWidth="1"/>
    <col min="2" max="2" width="23.7109375" bestFit="1" customWidth="1"/>
    <col min="3" max="3" width="12.28515625" style="8" bestFit="1" customWidth="1"/>
    <col min="4" max="4" width="10.28515625" style="9" bestFit="1" customWidth="1"/>
    <col min="5" max="5" width="11" style="9" bestFit="1" customWidth="1"/>
    <col min="6" max="6" width="11.85546875" style="9" bestFit="1" customWidth="1"/>
    <col min="7" max="12" width="9.85546875" style="9" bestFit="1" customWidth="1"/>
    <col min="13" max="13" width="11.7109375" style="9" bestFit="1" customWidth="1"/>
    <col min="14" max="14" width="10.7109375" style="9" bestFit="1" customWidth="1"/>
  </cols>
  <sheetData>
    <row r="1" spans="2:14" x14ac:dyDescent="0.25">
      <c r="C1"/>
      <c r="D1"/>
      <c r="E1"/>
      <c r="F1"/>
      <c r="G1"/>
      <c r="H1"/>
      <c r="I1"/>
      <c r="J1"/>
      <c r="K1"/>
      <c r="L1"/>
      <c r="M1"/>
      <c r="N1"/>
    </row>
    <row r="2" spans="2:14" x14ac:dyDescent="0.2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4" x14ac:dyDescent="0.25">
      <c r="C3"/>
      <c r="D3"/>
      <c r="E3"/>
      <c r="F3"/>
      <c r="G3"/>
      <c r="H3"/>
      <c r="I3"/>
      <c r="J3"/>
      <c r="K3"/>
      <c r="L3"/>
      <c r="M3"/>
      <c r="N3"/>
    </row>
    <row r="4" spans="2:14" x14ac:dyDescent="0.25">
      <c r="B4" s="4" t="s">
        <v>12</v>
      </c>
      <c r="C4"/>
      <c r="D4"/>
      <c r="E4" s="4" t="s">
        <v>15</v>
      </c>
      <c r="F4"/>
      <c r="G4"/>
      <c r="H4"/>
      <c r="I4" s="17" t="s">
        <v>28</v>
      </c>
      <c r="J4"/>
      <c r="K4"/>
      <c r="L4"/>
      <c r="M4"/>
      <c r="N4"/>
    </row>
    <row r="5" spans="2:14" x14ac:dyDescent="0.25">
      <c r="B5" s="6" t="s">
        <v>19</v>
      </c>
      <c r="C5" s="18">
        <v>10000000</v>
      </c>
      <c r="D5"/>
      <c r="E5" s="6" t="s">
        <v>18</v>
      </c>
      <c r="F5" s="7">
        <f>C5*G5</f>
        <v>8000000</v>
      </c>
      <c r="G5" s="3">
        <v>0.8</v>
      </c>
      <c r="H5"/>
      <c r="I5" t="s">
        <v>29</v>
      </c>
      <c r="J5"/>
      <c r="K5" s="11">
        <f>-M22/M21</f>
        <v>0.96969696969696972</v>
      </c>
      <c r="L5"/>
      <c r="M5"/>
      <c r="N5"/>
    </row>
    <row r="6" spans="2:14" x14ac:dyDescent="0.25">
      <c r="B6" t="s">
        <v>1</v>
      </c>
      <c r="C6" s="5">
        <v>0</v>
      </c>
      <c r="D6"/>
      <c r="E6" t="s">
        <v>20</v>
      </c>
      <c r="F6" s="10" t="s">
        <v>27</v>
      </c>
      <c r="G6"/>
      <c r="H6"/>
      <c r="I6"/>
      <c r="J6"/>
      <c r="K6"/>
      <c r="L6"/>
      <c r="M6"/>
      <c r="N6"/>
    </row>
    <row r="7" spans="2:14" x14ac:dyDescent="0.25">
      <c r="B7" t="s">
        <v>13</v>
      </c>
      <c r="C7" s="5">
        <v>0.06</v>
      </c>
      <c r="D7"/>
      <c r="E7" t="s">
        <v>16</v>
      </c>
      <c r="F7" s="19">
        <v>30</v>
      </c>
      <c r="G7"/>
      <c r="H7"/>
      <c r="I7"/>
      <c r="J7"/>
      <c r="K7"/>
      <c r="L7"/>
      <c r="M7"/>
      <c r="N7"/>
    </row>
    <row r="8" spans="2:14" x14ac:dyDescent="0.25">
      <c r="B8" t="s">
        <v>14</v>
      </c>
      <c r="C8" s="5">
        <v>0.1</v>
      </c>
      <c r="D8"/>
      <c r="E8" t="s">
        <v>17</v>
      </c>
      <c r="F8" s="20">
        <v>4.7500000000000001E-2</v>
      </c>
      <c r="G8"/>
      <c r="H8"/>
      <c r="I8"/>
      <c r="J8"/>
      <c r="K8"/>
      <c r="L8"/>
      <c r="M8"/>
      <c r="N8"/>
    </row>
    <row r="9" spans="2:14" x14ac:dyDescent="0.25">
      <c r="C9"/>
      <c r="D9"/>
      <c r="E9" t="s">
        <v>22</v>
      </c>
      <c r="F9" s="7">
        <f>IF(F6="Yes",F5*F8,PMT(F8/12,F7*12,-F5)*12)</f>
        <v>380000</v>
      </c>
      <c r="G9"/>
      <c r="H9"/>
      <c r="I9"/>
      <c r="J9"/>
      <c r="K9"/>
      <c r="L9"/>
      <c r="M9"/>
      <c r="N9"/>
    </row>
    <row r="10" spans="2:14" x14ac:dyDescent="0.25">
      <c r="C10"/>
      <c r="D10"/>
      <c r="E10" t="s">
        <v>23</v>
      </c>
      <c r="F10" s="7">
        <f>IF(F6="Yes",F5,PV(F8/12,F7*12-120,-F9/12))</f>
        <v>8000000</v>
      </c>
      <c r="G10"/>
      <c r="H10"/>
      <c r="I10"/>
      <c r="J10"/>
      <c r="K10"/>
      <c r="L10"/>
      <c r="M10"/>
      <c r="N10"/>
    </row>
    <row r="11" spans="2:14" x14ac:dyDescent="0.25">
      <c r="C11"/>
      <c r="D11"/>
      <c r="E11"/>
      <c r="F11"/>
      <c r="G11"/>
      <c r="H11"/>
      <c r="I11"/>
      <c r="J11"/>
      <c r="K11"/>
      <c r="L11"/>
      <c r="M11"/>
      <c r="N11"/>
    </row>
    <row r="12" spans="2:14" x14ac:dyDescent="0.25">
      <c r="B12" s="15" t="s">
        <v>2</v>
      </c>
      <c r="C12" s="16">
        <v>0</v>
      </c>
      <c r="D12" s="16">
        <f>C12+1</f>
        <v>1</v>
      </c>
      <c r="E12" s="16">
        <f t="shared" ref="E12:M12" si="0">D12+1</f>
        <v>2</v>
      </c>
      <c r="F12" s="16">
        <f t="shared" si="0"/>
        <v>3</v>
      </c>
      <c r="G12" s="16">
        <f t="shared" si="0"/>
        <v>4</v>
      </c>
      <c r="H12" s="16">
        <f t="shared" si="0"/>
        <v>5</v>
      </c>
      <c r="I12" s="16">
        <f t="shared" si="0"/>
        <v>6</v>
      </c>
      <c r="J12" s="16">
        <f t="shared" si="0"/>
        <v>7</v>
      </c>
      <c r="K12" s="16">
        <f t="shared" si="0"/>
        <v>8</v>
      </c>
      <c r="L12" s="16">
        <f t="shared" si="0"/>
        <v>9</v>
      </c>
      <c r="M12" s="16">
        <f t="shared" si="0"/>
        <v>10</v>
      </c>
      <c r="N12" s="16">
        <v>11</v>
      </c>
    </row>
    <row r="13" spans="2:14" x14ac:dyDescent="0.25">
      <c r="B13" t="s">
        <v>3</v>
      </c>
      <c r="C13" s="9">
        <f>-C5</f>
        <v>-10000000</v>
      </c>
    </row>
    <row r="14" spans="2:14" ht="17.25" x14ac:dyDescent="0.4">
      <c r="B14" t="s">
        <v>4</v>
      </c>
      <c r="C14" s="12">
        <f>F5</f>
        <v>8000000</v>
      </c>
    </row>
    <row r="15" spans="2:14" x14ac:dyDescent="0.25">
      <c r="B15" t="s">
        <v>25</v>
      </c>
      <c r="C15" s="9">
        <f>SUM(C13:C14)</f>
        <v>-2000000</v>
      </c>
    </row>
    <row r="16" spans="2:14" x14ac:dyDescent="0.25">
      <c r="C16" s="9"/>
    </row>
    <row r="17" spans="2:14" x14ac:dyDescent="0.25">
      <c r="B17" t="s">
        <v>5</v>
      </c>
      <c r="C17" s="9"/>
      <c r="D17" s="9">
        <f>($C$5*0.055*(1+$C$6)^(D12-1))*(1-$C$8)</f>
        <v>495000</v>
      </c>
      <c r="E17" s="9">
        <f t="shared" ref="E17:N17" si="1">($C$5*0.055*(1+$C$6)^(E12-1))*(1-$C$8)</f>
        <v>495000</v>
      </c>
      <c r="F17" s="9">
        <f t="shared" si="1"/>
        <v>495000</v>
      </c>
      <c r="G17" s="9">
        <f t="shared" si="1"/>
        <v>495000</v>
      </c>
      <c r="H17" s="9">
        <f t="shared" si="1"/>
        <v>495000</v>
      </c>
      <c r="I17" s="9">
        <f t="shared" si="1"/>
        <v>495000</v>
      </c>
      <c r="J17" s="9">
        <f t="shared" si="1"/>
        <v>495000</v>
      </c>
      <c r="K17" s="9">
        <f t="shared" si="1"/>
        <v>495000</v>
      </c>
      <c r="L17" s="9">
        <f t="shared" si="1"/>
        <v>495000</v>
      </c>
      <c r="M17" s="9">
        <f t="shared" si="1"/>
        <v>495000</v>
      </c>
      <c r="N17" s="9">
        <f t="shared" si="1"/>
        <v>495000</v>
      </c>
    </row>
    <row r="18" spans="2:14" ht="17.25" x14ac:dyDescent="0.4">
      <c r="B18" t="s">
        <v>6</v>
      </c>
      <c r="C18" s="9"/>
      <c r="D18" s="12">
        <f>-$F$9</f>
        <v>-380000</v>
      </c>
      <c r="E18" s="12">
        <f t="shared" ref="E18:M18" si="2">-$F$9</f>
        <v>-380000</v>
      </c>
      <c r="F18" s="12">
        <f t="shared" si="2"/>
        <v>-380000</v>
      </c>
      <c r="G18" s="12">
        <f t="shared" si="2"/>
        <v>-380000</v>
      </c>
      <c r="H18" s="12">
        <f t="shared" si="2"/>
        <v>-380000</v>
      </c>
      <c r="I18" s="12">
        <f t="shared" si="2"/>
        <v>-380000</v>
      </c>
      <c r="J18" s="12">
        <f t="shared" si="2"/>
        <v>-380000</v>
      </c>
      <c r="K18" s="12">
        <f t="shared" si="2"/>
        <v>-380000</v>
      </c>
      <c r="L18" s="12">
        <f t="shared" si="2"/>
        <v>-380000</v>
      </c>
      <c r="M18" s="12">
        <f t="shared" si="2"/>
        <v>-380000</v>
      </c>
      <c r="N18" s="12"/>
    </row>
    <row r="19" spans="2:14" x14ac:dyDescent="0.25">
      <c r="B19" t="s">
        <v>7</v>
      </c>
      <c r="C19" s="9"/>
      <c r="D19" s="9">
        <f>SUM(D17:D18)</f>
        <v>115000</v>
      </c>
      <c r="E19" s="9">
        <f t="shared" ref="E19:M19" si="3">SUM(E17:E18)</f>
        <v>115000</v>
      </c>
      <c r="F19" s="9">
        <f t="shared" si="3"/>
        <v>115000</v>
      </c>
      <c r="G19" s="9">
        <f t="shared" si="3"/>
        <v>115000</v>
      </c>
      <c r="H19" s="9">
        <f t="shared" si="3"/>
        <v>115000</v>
      </c>
      <c r="I19" s="9">
        <f t="shared" si="3"/>
        <v>115000</v>
      </c>
      <c r="J19" s="9">
        <f t="shared" si="3"/>
        <v>115000</v>
      </c>
      <c r="K19" s="9">
        <f t="shared" si="3"/>
        <v>115000</v>
      </c>
      <c r="L19" s="9">
        <f t="shared" si="3"/>
        <v>115000</v>
      </c>
      <c r="M19" s="9">
        <f t="shared" si="3"/>
        <v>115000</v>
      </c>
    </row>
    <row r="20" spans="2:14" x14ac:dyDescent="0.25">
      <c r="C20" s="9"/>
    </row>
    <row r="21" spans="2:14" x14ac:dyDescent="0.25">
      <c r="B21" t="s">
        <v>8</v>
      </c>
      <c r="C21" s="9"/>
      <c r="M21" s="9">
        <f>N17/$C$7</f>
        <v>8250000</v>
      </c>
    </row>
    <row r="22" spans="2:14" x14ac:dyDescent="0.25">
      <c r="B22" t="s">
        <v>9</v>
      </c>
      <c r="C22" s="9"/>
      <c r="M22" s="9">
        <f>-F10</f>
        <v>-8000000</v>
      </c>
    </row>
    <row r="23" spans="2:14" x14ac:dyDescent="0.25">
      <c r="B23" t="s">
        <v>10</v>
      </c>
      <c r="C23" s="9"/>
      <c r="M23" s="9">
        <f>SUM(M21:M22)</f>
        <v>250000</v>
      </c>
    </row>
    <row r="24" spans="2:14" x14ac:dyDescent="0.25">
      <c r="C24" s="9"/>
    </row>
    <row r="25" spans="2:14" x14ac:dyDescent="0.25">
      <c r="B25" t="s">
        <v>26</v>
      </c>
      <c r="C25" s="9">
        <f>C13+C17+C21</f>
        <v>-10000000</v>
      </c>
      <c r="D25" s="9">
        <f t="shared" ref="D25:M25" si="4">D13+D17+D21</f>
        <v>495000</v>
      </c>
      <c r="E25" s="9">
        <f t="shared" si="4"/>
        <v>495000</v>
      </c>
      <c r="F25" s="9">
        <f t="shared" si="4"/>
        <v>495000</v>
      </c>
      <c r="G25" s="9">
        <f t="shared" si="4"/>
        <v>495000</v>
      </c>
      <c r="H25" s="9">
        <f t="shared" si="4"/>
        <v>495000</v>
      </c>
      <c r="I25" s="9">
        <f t="shared" si="4"/>
        <v>495000</v>
      </c>
      <c r="J25" s="9">
        <f t="shared" si="4"/>
        <v>495000</v>
      </c>
      <c r="K25" s="9">
        <f t="shared" si="4"/>
        <v>495000</v>
      </c>
      <c r="L25" s="9">
        <f t="shared" si="4"/>
        <v>495000</v>
      </c>
      <c r="M25" s="9">
        <f t="shared" si="4"/>
        <v>8745000</v>
      </c>
    </row>
    <row r="26" spans="2:14" x14ac:dyDescent="0.25">
      <c r="B26" s="13" t="s">
        <v>24</v>
      </c>
      <c r="C26" s="14">
        <f>IRR(C25:M25)</f>
        <v>3.4551837064936031E-2</v>
      </c>
    </row>
    <row r="27" spans="2:14" x14ac:dyDescent="0.25">
      <c r="C27" s="9"/>
    </row>
    <row r="28" spans="2:14" x14ac:dyDescent="0.25">
      <c r="B28" t="s">
        <v>11</v>
      </c>
      <c r="C28" s="9">
        <f>C23+C19+C15</f>
        <v>-2000000</v>
      </c>
      <c r="D28" s="9">
        <f t="shared" ref="D28:M28" si="5">D23+D19+D15</f>
        <v>115000</v>
      </c>
      <c r="E28" s="9">
        <f t="shared" si="5"/>
        <v>115000</v>
      </c>
      <c r="F28" s="9">
        <f t="shared" si="5"/>
        <v>115000</v>
      </c>
      <c r="G28" s="9">
        <f t="shared" si="5"/>
        <v>115000</v>
      </c>
      <c r="H28" s="9">
        <f t="shared" si="5"/>
        <v>115000</v>
      </c>
      <c r="I28" s="9">
        <f t="shared" si="5"/>
        <v>115000</v>
      </c>
      <c r="J28" s="9">
        <f t="shared" si="5"/>
        <v>115000</v>
      </c>
      <c r="K28" s="9">
        <f t="shared" si="5"/>
        <v>115000</v>
      </c>
      <c r="L28" s="9">
        <f t="shared" si="5"/>
        <v>115000</v>
      </c>
      <c r="M28" s="9">
        <f t="shared" si="5"/>
        <v>365000</v>
      </c>
    </row>
    <row r="29" spans="2:14" x14ac:dyDescent="0.25">
      <c r="B29" s="13" t="s">
        <v>24</v>
      </c>
      <c r="C29" s="14">
        <f>IRR(C28:M28)</f>
        <v>-5.2889806311404275E-2</v>
      </c>
    </row>
  </sheetData>
  <dataConsolidate/>
  <dataValidations count="1">
    <dataValidation type="list" allowBlank="1" showInputMessage="1" showErrorMessage="1" sqref="F6" xr:uid="{D2331ED9-08BA-47CF-B50F-0F122B1EF602}">
      <formula1>"Yes, No"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#1 Base Case</vt:lpstr>
      <vt:lpstr>#2 Base High LTV</vt:lpstr>
      <vt:lpstr>#3 Downside Case</vt:lpstr>
      <vt:lpstr>#4 Downside High LTV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Spencer Burton</dc:creator>
  <cp:lastModifiedBy>Spencer Burton</cp:lastModifiedBy>
  <dcterms:created xsi:type="dcterms:W3CDTF">2019-04-03T23:24:53Z</dcterms:created>
  <dcterms:modified xsi:type="dcterms:W3CDTF">2019-04-04T00:24:59Z</dcterms:modified>
</cp:coreProperties>
</file>