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Learnings\1 Quarantine Learning\1 ACRE_BLOGPOSTS\3 Aug 2022\"/>
    </mc:Choice>
  </mc:AlternateContent>
  <xr:revisionPtr revIDLastSave="0" documentId="13_ncr:1_{37A61949-7A3F-432A-A13E-CF0F9716000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2" sheetId="2" r:id="rId1"/>
  </sheets>
  <definedNames>
    <definedName name="_xlnm.Print_Area" localSheetId="0">Sheet2!$B$3:$N$153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8" i="2" l="1"/>
  <c r="M67" i="2"/>
  <c r="M128" i="2"/>
  <c r="L128" i="2"/>
  <c r="L143" i="2"/>
  <c r="L119" i="2"/>
  <c r="G66" i="2"/>
  <c r="G74" i="2" s="1"/>
  <c r="G52" i="2"/>
  <c r="G55" i="2" s="1"/>
  <c r="M39" i="2"/>
  <c r="M52" i="2" s="1"/>
  <c r="M66" i="2" s="1"/>
  <c r="I145" i="2"/>
  <c r="J145" i="2" s="1"/>
  <c r="K145" i="2" s="1"/>
  <c r="L145" i="2" s="1"/>
  <c r="M145" i="2" s="1"/>
  <c r="I121" i="2"/>
  <c r="J121" i="2" s="1"/>
  <c r="K121" i="2" s="1"/>
  <c r="L121" i="2" s="1"/>
  <c r="M121" i="2" s="1"/>
  <c r="M40" i="2"/>
  <c r="M53" i="2" s="1"/>
  <c r="F114" i="2" s="1"/>
  <c r="M41" i="2"/>
  <c r="M54" i="2" s="1"/>
  <c r="F138" i="2" s="1"/>
  <c r="M102" i="2"/>
  <c r="K103" i="2"/>
  <c r="J103" i="2"/>
  <c r="I103" i="2"/>
  <c r="H103" i="2"/>
  <c r="G103" i="2"/>
  <c r="H100" i="2"/>
  <c r="I100" i="2" s="1"/>
  <c r="J100" i="2" s="1"/>
  <c r="K100" i="2" s="1"/>
  <c r="L100" i="2" s="1"/>
  <c r="G40" i="2"/>
  <c r="F140" i="2" l="1"/>
  <c r="F139" i="2"/>
  <c r="F115" i="2"/>
  <c r="F116" i="2"/>
  <c r="F92" i="2"/>
  <c r="L93" i="2" s="1"/>
  <c r="H54" i="2"/>
  <c r="N51" i="2"/>
  <c r="N57" i="2" s="1"/>
  <c r="N38" i="2"/>
  <c r="N43" i="2" s="1"/>
  <c r="F141" i="2" l="1"/>
  <c r="L138" i="2" s="1"/>
  <c r="L140" i="2" s="1"/>
  <c r="L147" i="2" s="1"/>
  <c r="F117" i="2"/>
  <c r="L103" i="2"/>
  <c r="M103" i="2" s="1"/>
  <c r="F94" i="2"/>
  <c r="F93" i="2"/>
  <c r="I40" i="2"/>
  <c r="I38" i="2"/>
  <c r="H66" i="2" s="1"/>
  <c r="L114" i="2" l="1"/>
  <c r="L116" i="2" s="1"/>
  <c r="L148" i="2"/>
  <c r="L150" i="2"/>
  <c r="M150" i="2" s="1"/>
  <c r="M147" i="2"/>
  <c r="M152" i="2" s="1"/>
  <c r="M71" i="2"/>
  <c r="F95" i="2"/>
  <c r="I55" i="2"/>
  <c r="H74" i="2"/>
  <c r="I43" i="2"/>
  <c r="H52" i="2"/>
  <c r="L152" i="2" l="1"/>
  <c r="L123" i="2"/>
  <c r="M148" i="2"/>
  <c r="H70" i="2"/>
  <c r="L95" i="2"/>
  <c r="L94" i="2" s="1"/>
  <c r="L92" i="2" s="1"/>
  <c r="L149" i="2"/>
  <c r="L151" i="2" s="1"/>
  <c r="F96" i="2"/>
  <c r="F97" i="2" s="1"/>
  <c r="I51" i="2"/>
  <c r="I57" i="2" s="1"/>
  <c r="M123" i="2" l="1"/>
  <c r="L124" i="2"/>
  <c r="L126" i="2"/>
  <c r="M126" i="2" s="1"/>
  <c r="M149" i="2"/>
  <c r="M151" i="2" s="1"/>
  <c r="M73" i="2"/>
  <c r="H69" i="2" s="1"/>
  <c r="N65" i="2" l="1"/>
  <c r="L125" i="2"/>
  <c r="L127" i="2" s="1"/>
  <c r="M124" i="2"/>
  <c r="H71" i="2" l="1"/>
  <c r="M72" i="2"/>
  <c r="M125" i="2"/>
  <c r="M127" i="2" s="1"/>
  <c r="H68" i="2" l="1"/>
  <c r="I65" i="2" s="1"/>
  <c r="M74" i="2"/>
  <c r="M75" i="2" l="1"/>
  <c r="H75" i="2" s="1"/>
  <c r="I73" i="2" s="1"/>
  <c r="I78" i="2" s="1"/>
  <c r="N70" i="2" l="1"/>
  <c r="N78" i="2" s="1"/>
</calcChain>
</file>

<file path=xl/sharedStrings.xml><?xml version="1.0" encoding="utf-8"?>
<sst xmlns="http://schemas.openxmlformats.org/spreadsheetml/2006/main" count="154" uniqueCount="106">
  <si>
    <t>Assets</t>
  </si>
  <si>
    <t>Liabilities</t>
  </si>
  <si>
    <t>Equity</t>
  </si>
  <si>
    <t>Debt</t>
  </si>
  <si>
    <t>Land Equity</t>
  </si>
  <si>
    <t>Hard Cost</t>
  </si>
  <si>
    <t>Soft Cost</t>
  </si>
  <si>
    <t>Land Fund's Share</t>
  </si>
  <si>
    <t>Expected OPEX</t>
  </si>
  <si>
    <t>Rental Incomes</t>
  </si>
  <si>
    <t>Less: Land Fund's Share</t>
  </si>
  <si>
    <t>Net Rental Incomes</t>
  </si>
  <si>
    <t>Capital</t>
  </si>
  <si>
    <t>Cash</t>
  </si>
  <si>
    <t>Incomes from Proj 2</t>
  </si>
  <si>
    <t>Incomes from Proj 3</t>
  </si>
  <si>
    <t>Unrealised gains (Fair Value of Proj 2 &amp; 3)</t>
  </si>
  <si>
    <t>Business Model:</t>
  </si>
  <si>
    <t>Objective:</t>
  </si>
  <si>
    <t>The Land Asset Fund shall receive a fixed share of income as well as ownership from the underlying developed assets</t>
  </si>
  <si>
    <t>Assumptions:</t>
  </si>
  <si>
    <t>There is not much time lag between closing of the Land Fund, acquiring land parcels and breaking grounds in the respective projects.</t>
  </si>
  <si>
    <t>THE INITIAL BALANCE SHEET</t>
  </si>
  <si>
    <t xml:space="preserve">Total </t>
  </si>
  <si>
    <t>BALANCE SHEET AFTER INVESTMENT OF LAND PARCELS</t>
  </si>
  <si>
    <t>BALANCE SHEET AT THE END OF 6 QUARTERS</t>
  </si>
  <si>
    <t>Unrealised gains</t>
  </si>
  <si>
    <t>Realised gains (on sale of Proj 1)</t>
  </si>
  <si>
    <t>O/s Debt (with Interest reserves)</t>
  </si>
  <si>
    <t>Less: Cash (repaid)</t>
  </si>
  <si>
    <t>Profit/ Loss account:</t>
  </si>
  <si>
    <t>From proj 1</t>
  </si>
  <si>
    <t>From proj 2</t>
  </si>
  <si>
    <t>From proj 3</t>
  </si>
  <si>
    <t>Premium apartments catering to various pocket sizes. 500 flats of average 780 SF/unit</t>
  </si>
  <si>
    <t>PROJECT 1 : RESIDENTIAL COMPLEX DEVELOPMENT ON 5 ACRES OF LAND</t>
  </si>
  <si>
    <r>
      <rPr>
        <b/>
        <sz val="10"/>
        <color theme="1"/>
        <rFont val="Calibri"/>
        <family val="2"/>
        <scheme val="minor"/>
      </rPr>
      <t>Distribution terms for Pinkstone LAF:</t>
    </r>
    <r>
      <rPr>
        <sz val="10"/>
        <color theme="1"/>
        <rFont val="Calibri"/>
        <family val="2"/>
        <scheme val="minor"/>
      </rPr>
      <t xml:space="preserve"> 20% share of the sales collections each quarter until 1.5x of the Land Investment value is paid off.</t>
    </r>
  </si>
  <si>
    <t>Land Cost</t>
  </si>
  <si>
    <t>Add: Mark-up</t>
  </si>
  <si>
    <t>Projected Sale Value</t>
  </si>
  <si>
    <t>Sources of Funds:</t>
  </si>
  <si>
    <t>Total Uses</t>
  </si>
  <si>
    <t>Uses of Funds (Budget):</t>
  </si>
  <si>
    <t>Total Sources</t>
  </si>
  <si>
    <t>Cashflows during the 6 quarters</t>
  </si>
  <si>
    <r>
      <rPr>
        <b/>
        <sz val="10"/>
        <color theme="1"/>
        <rFont val="Calibri"/>
        <family val="2"/>
        <scheme val="minor"/>
      </rPr>
      <t>Expected Project Completion Time:</t>
    </r>
    <r>
      <rPr>
        <sz val="10"/>
        <color theme="1"/>
        <rFont val="Calibri"/>
        <family val="2"/>
        <scheme val="minor"/>
      </rPr>
      <t xml:space="preserve"> 6 quarters</t>
    </r>
  </si>
  <si>
    <t>Sales Collections received</t>
  </si>
  <si>
    <t>Total</t>
  </si>
  <si>
    <r>
      <rPr>
        <b/>
        <sz val="10"/>
        <color theme="1"/>
        <rFont val="Calibri"/>
        <family val="2"/>
        <scheme val="minor"/>
      </rPr>
      <t>Expected Project Completion Time:</t>
    </r>
    <r>
      <rPr>
        <sz val="10"/>
        <color theme="1"/>
        <rFont val="Calibri"/>
        <family val="2"/>
        <scheme val="minor"/>
      </rPr>
      <t xml:space="preserve"> 4 quarters</t>
    </r>
  </si>
  <si>
    <t>Create a 'Land Asset Fund' company to raise Equity and Debt to buy land parcels and invest them in lucrative CRE projects.</t>
  </si>
  <si>
    <t>x</t>
  </si>
  <si>
    <t>Debt (80% of Const. Cost)</t>
  </si>
  <si>
    <t>PROJECT 2 : COWORKING OFFICE COMPLEX ON 0.8 ACRES OF LAND</t>
  </si>
  <si>
    <t xml:space="preserve">Plot 1 </t>
  </si>
  <si>
    <t xml:space="preserve">Plot 2 </t>
  </si>
  <si>
    <t xml:space="preserve">Plot 3 </t>
  </si>
  <si>
    <t>Expected Yield on Cost</t>
  </si>
  <si>
    <r>
      <rPr>
        <b/>
        <sz val="10"/>
        <color theme="1"/>
        <rFont val="Calibri"/>
        <family val="2"/>
        <scheme val="minor"/>
      </rPr>
      <t>Expected Stabilisation from :</t>
    </r>
    <r>
      <rPr>
        <sz val="10"/>
        <color theme="1"/>
        <rFont val="Calibri"/>
        <family val="2"/>
        <scheme val="minor"/>
      </rPr>
      <t xml:space="preserve"> Quarter 5</t>
    </r>
  </si>
  <si>
    <t>Annual Potential NOI</t>
  </si>
  <si>
    <t>Less: OPEX</t>
  </si>
  <si>
    <t>Expected Annual Rental Income</t>
  </si>
  <si>
    <t>PROJECT 3 : GRADE A INDUSTRIAL WAREHOUSE ON 40 ACRES OF LAND</t>
  </si>
  <si>
    <t xml:space="preserve">Less: Debt repaid </t>
  </si>
  <si>
    <t>Most sought after asset class in this online shopping age. Long term leases spanning 6 to 9 years</t>
  </si>
  <si>
    <r>
      <rPr>
        <b/>
        <sz val="10"/>
        <color theme="1"/>
        <rFont val="Calibri"/>
        <family val="2"/>
        <scheme val="minor"/>
      </rPr>
      <t>Increase leverage</t>
    </r>
    <r>
      <rPr>
        <sz val="10"/>
        <color theme="1"/>
        <rFont val="Calibri"/>
        <family val="2"/>
        <scheme val="minor"/>
      </rPr>
      <t xml:space="preserve"> for the projects on the back of the fixed income streams/ capital appreciations of this Land Asset Fund.</t>
    </r>
  </si>
  <si>
    <r>
      <rPr>
        <b/>
        <sz val="10"/>
        <color theme="1"/>
        <rFont val="Calibri"/>
        <family val="2"/>
        <scheme val="minor"/>
      </rPr>
      <t xml:space="preserve">Grow the balance sheet </t>
    </r>
    <r>
      <rPr>
        <sz val="10"/>
        <color theme="1"/>
        <rFont val="Calibri"/>
        <family val="2"/>
        <scheme val="minor"/>
      </rPr>
      <t>and develop a reliable growing source of initial capital for future projects.</t>
    </r>
  </si>
  <si>
    <r>
      <rPr>
        <b/>
        <sz val="10"/>
        <color theme="1"/>
        <rFont val="Calibri"/>
        <family val="2"/>
        <scheme val="minor"/>
      </rPr>
      <t>SEAT AT BOTH THE TABLES</t>
    </r>
    <r>
      <rPr>
        <sz val="10"/>
        <color theme="1"/>
        <rFont val="Calibri"/>
        <family val="2"/>
        <scheme val="minor"/>
      </rPr>
      <t>: Pinkstone is the sponsor of this land asset fund as well as the sponsor of the underlying CRE development projects.</t>
    </r>
  </si>
  <si>
    <r>
      <t xml:space="preserve">ARM's LENGTH: </t>
    </r>
    <r>
      <rPr>
        <sz val="10"/>
        <color theme="1"/>
        <rFont val="Calibri"/>
        <family val="2"/>
        <scheme val="minor"/>
      </rPr>
      <t>Transactions between the Land Asset Fund and the project SPEs (special purpose entities) are at arm's length,i.e., at fair market value.</t>
    </r>
    <r>
      <rPr>
        <b/>
        <sz val="10"/>
        <color theme="1"/>
        <rFont val="Calibri"/>
        <family val="2"/>
        <scheme val="minor"/>
      </rPr>
      <t xml:space="preserve"> </t>
    </r>
  </si>
  <si>
    <r>
      <rPr>
        <b/>
        <sz val="10"/>
        <color theme="1"/>
        <rFont val="Calibri"/>
        <family val="2"/>
        <scheme val="minor"/>
      </rPr>
      <t>NO MAJOR TIMELAG:</t>
    </r>
    <r>
      <rPr>
        <sz val="10"/>
        <color theme="1"/>
        <rFont val="Calibri"/>
        <family val="2"/>
        <scheme val="minor"/>
      </rPr>
      <t>They have already identified 3 land parcels and suitable development opportunities.</t>
    </r>
  </si>
  <si>
    <r>
      <t xml:space="preserve">ANALYSIS PERIOD: </t>
    </r>
    <r>
      <rPr>
        <sz val="10"/>
        <color theme="1"/>
        <rFont val="Calibri"/>
        <family val="2"/>
        <scheme val="minor"/>
      </rPr>
      <t>We are looking at the first 18 months of the Fund's prospects with their investments since financial closure.</t>
    </r>
  </si>
  <si>
    <t>www.adventuresincre.com</t>
  </si>
  <si>
    <t>Author: Padmaa Iyer</t>
  </si>
  <si>
    <t>Land Inventory*</t>
  </si>
  <si>
    <t>* Capitalised all closing costs and interest costs</t>
  </si>
  <si>
    <r>
      <t>Investment in Projects</t>
    </r>
    <r>
      <rPr>
        <i/>
        <vertAlign val="superscript"/>
        <sz val="10"/>
        <color theme="1"/>
        <rFont val="Calibri"/>
        <family val="2"/>
        <scheme val="minor"/>
      </rPr>
      <t>#</t>
    </r>
  </si>
  <si>
    <r>
      <t>Investment in Projects</t>
    </r>
    <r>
      <rPr>
        <i/>
        <vertAlign val="superscript"/>
        <sz val="10"/>
        <color theme="1"/>
        <rFont val="Calibri"/>
        <family val="2"/>
        <scheme val="minor"/>
      </rPr>
      <t>@</t>
    </r>
  </si>
  <si>
    <t>Proj 1: Residential Township</t>
  </si>
  <si>
    <t>Proj 2: Co-working Office Complex</t>
  </si>
  <si>
    <t>Proj 3: Industrial Warehouse</t>
  </si>
  <si>
    <r>
      <rPr>
        <strike/>
        <sz val="10"/>
        <color theme="0" tint="-0.499984740745262"/>
        <rFont val="Calibri"/>
        <family val="2"/>
        <scheme val="minor"/>
      </rPr>
      <t>Proj 1: Residential Township</t>
    </r>
    <r>
      <rPr>
        <sz val="10"/>
        <color theme="0" tint="-0.499984740745262"/>
        <rFont val="Calibri"/>
        <family val="2"/>
        <scheme val="minor"/>
      </rPr>
      <t xml:space="preserve"> (soldout)</t>
    </r>
  </si>
  <si>
    <r>
      <rPr>
        <i/>
        <vertAlign val="superscript"/>
        <sz val="9"/>
        <color theme="1"/>
        <rFont val="Calibri"/>
        <family val="2"/>
        <scheme val="minor"/>
      </rPr>
      <t>@</t>
    </r>
    <r>
      <rPr>
        <i/>
        <sz val="9"/>
        <color theme="1"/>
        <rFont val="Calibri"/>
        <family val="2"/>
        <scheme val="minor"/>
      </rPr>
      <t>restated @ Fair Market Value</t>
    </r>
  </si>
  <si>
    <r>
      <rPr>
        <i/>
        <vertAlign val="superscript"/>
        <sz val="9"/>
        <color theme="1"/>
        <rFont val="Calibri"/>
        <family val="2"/>
        <scheme val="minor"/>
      </rPr>
      <t>#</t>
    </r>
    <r>
      <rPr>
        <i/>
        <sz val="9"/>
        <color theme="1"/>
        <rFont val="Calibri"/>
        <family val="2"/>
        <scheme val="minor"/>
      </rPr>
      <t>Land transferred with a fair mark-up</t>
    </r>
  </si>
  <si>
    <r>
      <rPr>
        <b/>
        <sz val="10"/>
        <color theme="1"/>
        <rFont val="Calibri"/>
        <family val="2"/>
        <scheme val="minor"/>
      </rPr>
      <t xml:space="preserve">PRIORITY DISTRIBUTION TO LAND FUND: </t>
    </r>
    <r>
      <rPr>
        <sz val="10"/>
        <color theme="1"/>
        <rFont val="Calibri"/>
        <family val="2"/>
        <scheme val="minor"/>
      </rPr>
      <t xml:space="preserve">Since Pinkstone LAF is passing on the titles to the land - the most fundamental of the total project costs to the </t>
    </r>
  </si>
  <si>
    <t>projects need not fuss about this, because they will already have the land as a collateral against the construction loan they are giving.</t>
  </si>
  <si>
    <t>underlying project SPEs, they expect a first priority distribution from the sales/ rental income cashflows of the projects. Lenders of the respective CRE</t>
  </si>
  <si>
    <r>
      <t xml:space="preserve">CONSCIOUS SELECTION OF STRATEGIES: </t>
    </r>
    <r>
      <rPr>
        <sz val="10"/>
        <color theme="1"/>
        <rFont val="Calibri"/>
        <family val="2"/>
        <scheme val="minor"/>
      </rPr>
      <t xml:space="preserve">The Land Asset Fund has selected a well thought out mix of </t>
    </r>
    <r>
      <rPr>
        <b/>
        <sz val="10"/>
        <color theme="1"/>
        <rFont val="Calibri"/>
        <family val="2"/>
        <scheme val="minor"/>
      </rPr>
      <t xml:space="preserve">hold vs harvest strategies </t>
    </r>
    <r>
      <rPr>
        <sz val="10"/>
        <color theme="1"/>
        <rFont val="Calibri"/>
        <family val="2"/>
        <scheme val="minor"/>
      </rPr>
      <t xml:space="preserve">behind each of their </t>
    </r>
  </si>
  <si>
    <t>will only add to the growth of their Equity Value.</t>
  </si>
  <si>
    <t>investments. Taking earlier exit from a few of the first projects will enable a land asset fund to offload their debts faster and any subsequent returns</t>
  </si>
  <si>
    <r>
      <t xml:space="preserve">MOTIVATION FOR THE LPs: </t>
    </r>
    <r>
      <rPr>
        <sz val="10"/>
        <color theme="1"/>
        <rFont val="Calibri"/>
        <family val="2"/>
        <scheme val="minor"/>
      </rPr>
      <t xml:space="preserve">It could be a good 2-3 years before the Land Asset Fund sees successful completion of their investee projects, pares down their </t>
    </r>
  </si>
  <si>
    <t>debts and starts paying regular distributions to the LPs. Meanwhile LPs can take heart in the capital appreciation of their investment value (if all goes well!).</t>
  </si>
  <si>
    <r>
      <t xml:space="preserve">TIMELY PRE-SALES/ PRE-LEASING: </t>
    </r>
    <r>
      <rPr>
        <sz val="10"/>
        <color theme="1"/>
        <rFont val="Calibri"/>
        <family val="2"/>
        <scheme val="minor"/>
      </rPr>
      <t>Pinkstones are confident that their marketing strategies will enable them to achieve on time rental stabilisation/sales.</t>
    </r>
  </si>
  <si>
    <t>FINANCIAL MODEL SNAPSHOTS : INVESTEE PROJECTS</t>
  </si>
  <si>
    <t>CASE STUDY : PINKSTONE LAND ASSETS FUND</t>
  </si>
  <si>
    <t>Expected Cap rate @ end of 6 Quarters</t>
  </si>
  <si>
    <t xml:space="preserve">Asset class somewhat similar to Hotels due to a mix of short term and medium term rentals. Lower rental yield of 7% is assumed to offset high occupancy </t>
  </si>
  <si>
    <t>risks. Since this product is most adapted to market demands, a decent cap rate of 6% is assumed at the end of 6 quarters.</t>
  </si>
  <si>
    <t>of rentals</t>
  </si>
  <si>
    <t>of Exit Valuation</t>
  </si>
  <si>
    <t>Land Fund's Share :</t>
  </si>
  <si>
    <t xml:space="preserve">Land Fund's Share </t>
  </si>
  <si>
    <t xml:space="preserve"> of Rentals</t>
  </si>
  <si>
    <t xml:space="preserve"> of Exit Value</t>
  </si>
  <si>
    <r>
      <rPr>
        <b/>
        <sz val="10"/>
        <color theme="1"/>
        <rFont val="Calibri"/>
        <family val="2"/>
        <scheme val="minor"/>
      </rPr>
      <t>Distribution terms for Pinkstone LAF:</t>
    </r>
    <r>
      <rPr>
        <sz val="10"/>
        <color theme="1"/>
        <rFont val="Calibri"/>
        <family val="2"/>
        <scheme val="minor"/>
      </rPr>
      <t xml:space="preserve"> Share in rental incomes (will not shoulder OPEX! ) - 30% | Share in Exit Value (proportionate to Capital Contribution) - 50%</t>
    </r>
  </si>
  <si>
    <r>
      <rPr>
        <b/>
        <sz val="10"/>
        <color theme="1"/>
        <rFont val="Calibri"/>
        <family val="2"/>
        <scheme val="minor"/>
      </rPr>
      <t>Distribution terms for Pinkstone LAF:</t>
    </r>
    <r>
      <rPr>
        <sz val="10"/>
        <color theme="1"/>
        <rFont val="Calibri"/>
        <family val="2"/>
        <scheme val="minor"/>
      </rPr>
      <t xml:space="preserve"> Share in rental incomes (will not shoulder OPEX! ) - 25% | Share in Exit Value (proportionate to Capital Contribution) - 40%</t>
    </r>
  </si>
  <si>
    <t>Balance Net Op Income for the Project Company</t>
  </si>
  <si>
    <t>NOI for Asset 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</si>
</sst>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&quot;Qtr&quot;\ 0"/>
    <numFmt numFmtId="166" formatCode="&quot;(&quot;\ 0.0\ &quot;acres)&quot;"/>
    <numFmt numFmtId="167" formatCode="&quot;(&quot;\ 0\ &quot;acres)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trike/>
      <sz val="10"/>
      <color theme="0" tint="-0.49998474074526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8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i/>
      <sz val="9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2"/>
    </xf>
    <xf numFmtId="164" fontId="2" fillId="0" borderId="0" xfId="1" applyNumberFormat="1" applyFont="1"/>
    <xf numFmtId="164" fontId="2" fillId="0" borderId="0" xfId="0" applyNumberFormat="1" applyFont="1"/>
    <xf numFmtId="0" fontId="3" fillId="0" borderId="0" xfId="0" applyFont="1" applyAlignment="1">
      <alignment horizontal="left" indent="2"/>
    </xf>
    <xf numFmtId="9" fontId="2" fillId="0" borderId="0" xfId="0" applyNumberFormat="1" applyFont="1"/>
    <xf numFmtId="9" fontId="4" fillId="0" borderId="0" xfId="0" applyNumberFormat="1" applyFont="1"/>
    <xf numFmtId="0" fontId="9" fillId="0" borderId="0" xfId="0" applyFont="1"/>
    <xf numFmtId="0" fontId="3" fillId="0" borderId="0" xfId="0" applyFont="1"/>
    <xf numFmtId="164" fontId="4" fillId="0" borderId="0" xfId="1" applyNumberFormat="1" applyFont="1"/>
    <xf numFmtId="0" fontId="2" fillId="0" borderId="1" xfId="0" applyFont="1" applyBorder="1"/>
    <xf numFmtId="164" fontId="2" fillId="0" borderId="1" xfId="0" applyNumberFormat="1" applyFont="1" applyBorder="1"/>
    <xf numFmtId="164" fontId="10" fillId="0" borderId="0" xfId="1" applyNumberFormat="1" applyFon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3"/>
    </xf>
    <xf numFmtId="165" fontId="12" fillId="0" borderId="0" xfId="0" applyNumberFormat="1" applyFont="1"/>
    <xf numFmtId="0" fontId="2" fillId="0" borderId="1" xfId="0" applyFont="1" applyBorder="1" applyAlignment="1">
      <alignment horizontal="left" indent="1"/>
    </xf>
    <xf numFmtId="0" fontId="13" fillId="0" borderId="0" xfId="0" applyFont="1" applyAlignment="1">
      <alignment horizontal="right" vertical="top"/>
    </xf>
    <xf numFmtId="164" fontId="2" fillId="0" borderId="0" xfId="0" applyNumberFormat="1" applyFont="1" applyAlignment="1">
      <alignment horizontal="right" wrapText="1"/>
    </xf>
    <xf numFmtId="166" fontId="2" fillId="0" borderId="0" xfId="0" applyNumberFormat="1" applyFont="1"/>
    <xf numFmtId="167" fontId="2" fillId="0" borderId="0" xfId="0" applyNumberFormat="1" applyFont="1"/>
    <xf numFmtId="43" fontId="2" fillId="0" borderId="0" xfId="0" applyNumberFormat="1" applyFont="1"/>
    <xf numFmtId="0" fontId="2" fillId="0" borderId="0" xfId="0" applyFont="1" applyAlignment="1">
      <alignment horizontal="left"/>
    </xf>
    <xf numFmtId="164" fontId="2" fillId="0" borderId="2" xfId="0" applyNumberFormat="1" applyFont="1" applyBorder="1"/>
    <xf numFmtId="0" fontId="2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quotePrefix="1" applyFont="1" applyAlignment="1">
      <alignment horizontal="left"/>
    </xf>
    <xf numFmtId="9" fontId="10" fillId="0" borderId="0" xfId="0" applyNumberFormat="1" applyFont="1"/>
    <xf numFmtId="0" fontId="18" fillId="0" borderId="0" xfId="2" applyAlignment="1">
      <alignment horizontal="left"/>
    </xf>
    <xf numFmtId="0" fontId="16" fillId="2" borderId="0" xfId="0" applyFont="1" applyFill="1"/>
    <xf numFmtId="0" fontId="7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6" fillId="3" borderId="0" xfId="0" applyFont="1" applyFill="1" applyAlignment="1">
      <alignment horizontal="right"/>
    </xf>
    <xf numFmtId="0" fontId="5" fillId="3" borderId="0" xfId="0" applyFont="1" applyFill="1" applyAlignment="1">
      <alignment horizontal="right"/>
    </xf>
    <xf numFmtId="0" fontId="6" fillId="3" borderId="0" xfId="0" applyFont="1" applyFill="1"/>
    <xf numFmtId="0" fontId="5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3" fillId="0" borderId="0" xfId="0" applyFont="1" applyAlignment="1">
      <alignment horizontal="left"/>
    </xf>
    <xf numFmtId="0" fontId="20" fillId="0" borderId="0" xfId="0" quotePrefix="1" applyFont="1"/>
    <xf numFmtId="0" fontId="22" fillId="0" borderId="0" xfId="0" applyFont="1" applyAlignment="1">
      <alignment horizontal="left"/>
    </xf>
    <xf numFmtId="0" fontId="20" fillId="0" borderId="0" xfId="0" applyFont="1"/>
    <xf numFmtId="0" fontId="17" fillId="4" borderId="0" xfId="0" applyFont="1" applyFill="1"/>
    <xf numFmtId="0" fontId="7" fillId="4" borderId="0" xfId="0" applyFont="1" applyFill="1" applyAlignment="1">
      <alignment horizontal="centerContinuous"/>
    </xf>
    <xf numFmtId="0" fontId="2" fillId="4" borderId="0" xfId="0" applyFont="1" applyFill="1" applyAlignment="1">
      <alignment horizontal="centerContinuous"/>
    </xf>
    <xf numFmtId="0" fontId="5" fillId="4" borderId="0" xfId="0" applyFont="1" applyFill="1" applyAlignment="1">
      <alignment horizontal="centerContinuous"/>
    </xf>
    <xf numFmtId="0" fontId="2" fillId="5" borderId="0" xfId="0" applyFont="1" applyFill="1"/>
    <xf numFmtId="0" fontId="2" fillId="5" borderId="0" xfId="0" applyFont="1" applyFill="1" applyAlignment="1">
      <alignment horizontal="centerContinuous"/>
    </xf>
    <xf numFmtId="0" fontId="11" fillId="5" borderId="0" xfId="0" applyFont="1" applyFill="1" applyAlignment="1">
      <alignment horizontal="centerContinuous"/>
    </xf>
    <xf numFmtId="0" fontId="3" fillId="0" borderId="0" xfId="0" applyFont="1" applyAlignment="1">
      <alignment horizontal="left" indent="1"/>
    </xf>
    <xf numFmtId="0" fontId="14" fillId="0" borderId="0" xfId="0" applyFont="1" applyAlignment="1">
      <alignment horizontal="left" indent="2"/>
    </xf>
    <xf numFmtId="0" fontId="2" fillId="0" borderId="1" xfId="0" applyFont="1" applyBorder="1" applyAlignment="1">
      <alignment horizontal="left" indent="2"/>
    </xf>
    <xf numFmtId="0" fontId="2" fillId="0" borderId="0" xfId="0" applyFont="1" applyBorder="1"/>
    <xf numFmtId="164" fontId="2" fillId="0" borderId="0" xfId="0" applyNumberFormat="1" applyFont="1" applyBorder="1"/>
    <xf numFmtId="0" fontId="2" fillId="5" borderId="0" xfId="0" applyFont="1" applyFill="1" applyAlignment="1">
      <alignment horizontal="left"/>
    </xf>
    <xf numFmtId="0" fontId="2" fillId="0" borderId="0" xfId="0" applyNumberFormat="1" applyFo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venturesincr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C258E-B4F2-4B9E-BBDD-BB01FCC2A4EB}">
  <dimension ref="A1:Q153"/>
  <sheetViews>
    <sheetView showGridLines="0" tabSelected="1" zoomScale="94" zoomScaleNormal="94" zoomScaleSheetLayoutView="70" workbookViewId="0">
      <pane xSplit="2" ySplit="3" topLeftCell="C132" activePane="bottomRight" state="frozen"/>
      <selection pane="topRight" activeCell="C1" sqref="C1"/>
      <selection pane="bottomLeft" activeCell="A4" sqref="A4"/>
      <selection pane="bottomRight" activeCell="I153" sqref="I153"/>
    </sheetView>
  </sheetViews>
  <sheetFormatPr defaultColWidth="0" defaultRowHeight="13" zeroHeight="1" x14ac:dyDescent="0.3"/>
  <cols>
    <col min="1" max="1" width="2.81640625" style="1" customWidth="1"/>
    <col min="2" max="2" width="13.54296875" style="1" bestFit="1" customWidth="1"/>
    <col min="3" max="3" width="0.7265625" style="1" customWidth="1"/>
    <col min="4" max="4" width="11.26953125" style="1" bestFit="1" customWidth="1"/>
    <col min="5" max="5" width="9" style="1" customWidth="1"/>
    <col min="6" max="6" width="10.81640625" style="1" bestFit="1" customWidth="1"/>
    <col min="7" max="7" width="9.36328125" style="1" bestFit="1" customWidth="1"/>
    <col min="8" max="8" width="11.36328125" style="1" bestFit="1" customWidth="1"/>
    <col min="9" max="9" width="10.81640625" style="1" bestFit="1" customWidth="1"/>
    <col min="10" max="10" width="13.1796875" style="1" bestFit="1" customWidth="1"/>
    <col min="11" max="11" width="10.81640625" style="1" customWidth="1"/>
    <col min="12" max="12" width="9.36328125" style="1" bestFit="1" customWidth="1"/>
    <col min="13" max="13" width="13.26953125" style="1" bestFit="1" customWidth="1"/>
    <col min="14" max="14" width="10.90625" style="1" customWidth="1"/>
    <col min="15" max="15" width="1.81640625" style="1" customWidth="1"/>
    <col min="16" max="17" width="11.81640625" style="1" hidden="1" customWidth="1"/>
    <col min="18" max="16384" width="8.7265625" style="1" hidden="1"/>
  </cols>
  <sheetData>
    <row r="1" spans="2:14" x14ac:dyDescent="0.3">
      <c r="B1" s="23" t="s">
        <v>71</v>
      </c>
      <c r="C1" s="8"/>
      <c r="D1" s="23"/>
    </row>
    <row r="2" spans="2:14" ht="14.5" x14ac:dyDescent="0.35">
      <c r="B2" s="29" t="s">
        <v>70</v>
      </c>
      <c r="C2" s="8"/>
      <c r="D2" s="23"/>
    </row>
    <row r="3" spans="2:14" ht="18.5" x14ac:dyDescent="0.45">
      <c r="C3" s="30" t="s">
        <v>50</v>
      </c>
      <c r="D3" s="31" t="s">
        <v>92</v>
      </c>
      <c r="E3" s="32"/>
      <c r="F3" s="31"/>
      <c r="G3" s="31"/>
      <c r="H3" s="31"/>
      <c r="I3" s="31"/>
      <c r="J3" s="31"/>
      <c r="K3" s="31"/>
      <c r="L3" s="31"/>
      <c r="M3" s="31"/>
      <c r="N3" s="31"/>
    </row>
    <row r="4" spans="2:14" ht="3.5" customHeight="1" x14ac:dyDescent="0.3">
      <c r="B4" s="33"/>
      <c r="C4" s="8"/>
    </row>
    <row r="5" spans="2:14" x14ac:dyDescent="0.3">
      <c r="B5" s="34" t="s">
        <v>17</v>
      </c>
      <c r="C5" s="8"/>
      <c r="D5" s="23" t="s">
        <v>49</v>
      </c>
    </row>
    <row r="6" spans="2:14" x14ac:dyDescent="0.3">
      <c r="B6" s="33"/>
      <c r="C6" s="8"/>
      <c r="D6" s="23" t="s">
        <v>19</v>
      </c>
    </row>
    <row r="7" spans="2:14" x14ac:dyDescent="0.3">
      <c r="B7" s="35"/>
      <c r="C7" s="8"/>
      <c r="D7" s="27"/>
    </row>
    <row r="8" spans="2:14" x14ac:dyDescent="0.3">
      <c r="B8" s="34" t="s">
        <v>18</v>
      </c>
      <c r="C8" s="8"/>
      <c r="D8" s="23" t="s">
        <v>64</v>
      </c>
    </row>
    <row r="9" spans="2:14" ht="3.5" customHeight="1" x14ac:dyDescent="0.3">
      <c r="B9" s="33"/>
      <c r="C9" s="8"/>
    </row>
    <row r="10" spans="2:14" x14ac:dyDescent="0.3">
      <c r="B10" s="33"/>
      <c r="C10" s="8"/>
      <c r="D10" s="23" t="s">
        <v>65</v>
      </c>
    </row>
    <row r="11" spans="2:14" x14ac:dyDescent="0.3">
      <c r="B11" s="35"/>
      <c r="C11" s="8"/>
      <c r="D11" s="27"/>
    </row>
    <row r="12" spans="2:14" x14ac:dyDescent="0.3">
      <c r="B12" s="34" t="s">
        <v>20</v>
      </c>
      <c r="C12" s="8"/>
      <c r="D12" s="25" t="s">
        <v>66</v>
      </c>
    </row>
    <row r="13" spans="2:14" ht="3.5" customHeight="1" x14ac:dyDescent="0.3">
      <c r="B13" s="33"/>
      <c r="C13" s="8"/>
    </row>
    <row r="14" spans="2:14" x14ac:dyDescent="0.3">
      <c r="B14" s="35"/>
      <c r="C14" s="8"/>
      <c r="D14" s="26" t="s">
        <v>67</v>
      </c>
    </row>
    <row r="15" spans="2:14" ht="3.5" customHeight="1" x14ac:dyDescent="0.3">
      <c r="B15" s="33"/>
      <c r="C15" s="8"/>
    </row>
    <row r="16" spans="2:14" x14ac:dyDescent="0.3">
      <c r="B16" s="35"/>
      <c r="C16" s="8"/>
      <c r="D16" s="25" t="s">
        <v>68</v>
      </c>
    </row>
    <row r="17" spans="2:4" x14ac:dyDescent="0.3">
      <c r="B17" s="35"/>
      <c r="C17" s="8"/>
      <c r="D17" s="25" t="s">
        <v>21</v>
      </c>
    </row>
    <row r="18" spans="2:4" ht="3.5" customHeight="1" x14ac:dyDescent="0.3">
      <c r="B18" s="33"/>
      <c r="C18" s="8"/>
    </row>
    <row r="19" spans="2:4" x14ac:dyDescent="0.3">
      <c r="B19" s="35"/>
      <c r="C19" s="8"/>
      <c r="D19" s="27" t="s">
        <v>90</v>
      </c>
    </row>
    <row r="20" spans="2:4" ht="3.5" customHeight="1" x14ac:dyDescent="0.3">
      <c r="B20" s="33"/>
      <c r="C20" s="8"/>
    </row>
    <row r="21" spans="2:4" x14ac:dyDescent="0.3">
      <c r="B21" s="35"/>
      <c r="C21" s="8"/>
      <c r="D21" s="25" t="s">
        <v>82</v>
      </c>
    </row>
    <row r="22" spans="2:4" x14ac:dyDescent="0.3">
      <c r="B22" s="35"/>
      <c r="C22" s="8"/>
      <c r="D22" s="23" t="s">
        <v>84</v>
      </c>
    </row>
    <row r="23" spans="2:4" x14ac:dyDescent="0.3">
      <c r="B23" s="35"/>
      <c r="C23" s="8"/>
      <c r="D23" s="23" t="s">
        <v>83</v>
      </c>
    </row>
    <row r="24" spans="2:4" ht="3.5" customHeight="1" x14ac:dyDescent="0.3">
      <c r="B24" s="33"/>
      <c r="C24" s="8"/>
    </row>
    <row r="25" spans="2:4" x14ac:dyDescent="0.3">
      <c r="B25" s="35"/>
      <c r="C25" s="8"/>
      <c r="D25" s="26" t="s">
        <v>85</v>
      </c>
    </row>
    <row r="26" spans="2:4" x14ac:dyDescent="0.3">
      <c r="B26" s="35"/>
      <c r="C26" s="8"/>
      <c r="D26" s="23" t="s">
        <v>87</v>
      </c>
    </row>
    <row r="27" spans="2:4" x14ac:dyDescent="0.3">
      <c r="B27" s="35"/>
      <c r="C27" s="8"/>
      <c r="D27" s="23" t="s">
        <v>86</v>
      </c>
    </row>
    <row r="28" spans="2:4" ht="3.5" customHeight="1" x14ac:dyDescent="0.3">
      <c r="B28" s="33"/>
      <c r="C28" s="8"/>
    </row>
    <row r="29" spans="2:4" x14ac:dyDescent="0.3">
      <c r="B29" s="35"/>
      <c r="C29" s="8"/>
      <c r="D29" s="26" t="s">
        <v>88</v>
      </c>
    </row>
    <row r="30" spans="2:4" x14ac:dyDescent="0.3">
      <c r="B30" s="35"/>
      <c r="C30" s="8"/>
      <c r="D30" s="23" t="s">
        <v>89</v>
      </c>
    </row>
    <row r="31" spans="2:4" ht="3.5" customHeight="1" x14ac:dyDescent="0.3">
      <c r="B31" s="33"/>
      <c r="C31" s="8"/>
    </row>
    <row r="32" spans="2:4" x14ac:dyDescent="0.3">
      <c r="B32" s="35"/>
      <c r="C32" s="8"/>
      <c r="D32" s="26" t="s">
        <v>69</v>
      </c>
    </row>
    <row r="33" spans="3:14" x14ac:dyDescent="0.3"/>
    <row r="34" spans="3:14" x14ac:dyDescent="0.3">
      <c r="C34" s="30" t="s">
        <v>50</v>
      </c>
      <c r="D34" s="36" t="s">
        <v>22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3:14" x14ac:dyDescent="0.3">
      <c r="D35" s="2"/>
    </row>
    <row r="36" spans="3:14" x14ac:dyDescent="0.3">
      <c r="D36" s="5" t="s">
        <v>1</v>
      </c>
      <c r="J36" s="5" t="s">
        <v>0</v>
      </c>
    </row>
    <row r="37" spans="3:14" x14ac:dyDescent="0.3">
      <c r="D37" s="2"/>
      <c r="J37" s="14"/>
    </row>
    <row r="38" spans="3:14" x14ac:dyDescent="0.3">
      <c r="D38" s="1" t="s">
        <v>2</v>
      </c>
      <c r="G38" s="7">
        <v>0.5</v>
      </c>
      <c r="I38" s="4">
        <f>N38*G38</f>
        <v>2935000</v>
      </c>
      <c r="J38" s="49" t="s">
        <v>72</v>
      </c>
      <c r="N38" s="4">
        <f>SUM(M39:M41)</f>
        <v>5870000</v>
      </c>
    </row>
    <row r="39" spans="3:14" x14ac:dyDescent="0.3">
      <c r="J39" s="2" t="s">
        <v>53</v>
      </c>
      <c r="L39" s="21">
        <v>5</v>
      </c>
      <c r="M39" s="10">
        <f>(1.2*10^7*L39)/80</f>
        <v>750000</v>
      </c>
    </row>
    <row r="40" spans="3:14" x14ac:dyDescent="0.3">
      <c r="D40" s="1" t="s">
        <v>3</v>
      </c>
      <c r="G40" s="6">
        <f>1-G38</f>
        <v>0.5</v>
      </c>
      <c r="I40" s="4">
        <f>N38*G40</f>
        <v>2935000</v>
      </c>
      <c r="J40" s="2" t="s">
        <v>54</v>
      </c>
      <c r="L40" s="20">
        <v>0.8</v>
      </c>
      <c r="M40" s="10">
        <f>(1.2*10^7*L40)/80</f>
        <v>120000</v>
      </c>
    </row>
    <row r="41" spans="3:14" x14ac:dyDescent="0.3">
      <c r="J41" s="2" t="s">
        <v>55</v>
      </c>
      <c r="L41" s="21">
        <v>40</v>
      </c>
      <c r="M41" s="10">
        <f>(1*10^7*L41)/80</f>
        <v>5000000</v>
      </c>
    </row>
    <row r="42" spans="3:14" x14ac:dyDescent="0.3">
      <c r="J42" s="14"/>
    </row>
    <row r="43" spans="3:14" x14ac:dyDescent="0.3">
      <c r="D43" s="11" t="s">
        <v>23</v>
      </c>
      <c r="E43" s="11"/>
      <c r="F43" s="11"/>
      <c r="G43" s="11"/>
      <c r="H43" s="11"/>
      <c r="I43" s="12">
        <f>SUM(I38:I42)</f>
        <v>5870000</v>
      </c>
      <c r="J43" s="17" t="s">
        <v>23</v>
      </c>
      <c r="K43" s="11"/>
      <c r="L43" s="11"/>
      <c r="M43" s="11"/>
      <c r="N43" s="12">
        <f>SUM(N38:N42)</f>
        <v>5870000</v>
      </c>
    </row>
    <row r="44" spans="3:14" ht="6" customHeight="1" x14ac:dyDescent="0.3">
      <c r="I44" s="4"/>
      <c r="J44" s="14"/>
      <c r="N44" s="4"/>
    </row>
    <row r="45" spans="3:14" x14ac:dyDescent="0.3">
      <c r="H45" s="4"/>
      <c r="J45" s="40" t="s">
        <v>73</v>
      </c>
      <c r="N45" s="4"/>
    </row>
    <row r="46" spans="3:14" x14ac:dyDescent="0.3"/>
    <row r="47" spans="3:14" x14ac:dyDescent="0.3">
      <c r="C47" s="30" t="s">
        <v>50</v>
      </c>
      <c r="D47" s="36" t="s">
        <v>24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3:14" x14ac:dyDescent="0.3"/>
    <row r="49" spans="3:14" x14ac:dyDescent="0.3">
      <c r="D49" s="5" t="s">
        <v>1</v>
      </c>
      <c r="J49" s="5" t="s">
        <v>0</v>
      </c>
    </row>
    <row r="50" spans="3:14" x14ac:dyDescent="0.3">
      <c r="D50" s="2"/>
    </row>
    <row r="51" spans="3:14" ht="14.5" x14ac:dyDescent="0.3">
      <c r="D51" s="1" t="s">
        <v>2</v>
      </c>
      <c r="I51" s="4">
        <f>SUM(H52:H54)</f>
        <v>3522000</v>
      </c>
      <c r="J51" s="49" t="s">
        <v>74</v>
      </c>
      <c r="N51" s="4">
        <f>SUM(M52:M54)</f>
        <v>6457000</v>
      </c>
    </row>
    <row r="52" spans="3:14" x14ac:dyDescent="0.3">
      <c r="D52" s="14" t="s">
        <v>12</v>
      </c>
      <c r="G52" s="28">
        <f>G38</f>
        <v>0.5</v>
      </c>
      <c r="H52" s="4">
        <f>$I$38</f>
        <v>2935000</v>
      </c>
      <c r="J52" s="2" t="s">
        <v>76</v>
      </c>
      <c r="M52" s="13">
        <f>M39*110%</f>
        <v>825000.00000000012</v>
      </c>
    </row>
    <row r="53" spans="3:14" x14ac:dyDescent="0.3">
      <c r="D53" s="14" t="s">
        <v>30</v>
      </c>
      <c r="J53" s="2" t="s">
        <v>77</v>
      </c>
      <c r="M53" s="13">
        <f>M40*110%</f>
        <v>132000</v>
      </c>
    </row>
    <row r="54" spans="3:14" x14ac:dyDescent="0.3">
      <c r="D54" s="15" t="s">
        <v>26</v>
      </c>
      <c r="H54" s="4">
        <f>SUM(M52:M54)-SUM(M39:M41)</f>
        <v>587000</v>
      </c>
      <c r="J54" s="2" t="s">
        <v>78</v>
      </c>
      <c r="M54" s="13">
        <f>M41*110%</f>
        <v>5500000</v>
      </c>
    </row>
    <row r="55" spans="3:14" x14ac:dyDescent="0.3">
      <c r="D55" s="1" t="s">
        <v>3</v>
      </c>
      <c r="G55" s="6">
        <f>1-G52</f>
        <v>0.5</v>
      </c>
      <c r="I55" s="4">
        <f>$I$40</f>
        <v>2935000</v>
      </c>
      <c r="J55" s="14"/>
    </row>
    <row r="56" spans="3:14" x14ac:dyDescent="0.3">
      <c r="J56" s="14"/>
    </row>
    <row r="57" spans="3:14" x14ac:dyDescent="0.3">
      <c r="D57" s="11" t="s">
        <v>23</v>
      </c>
      <c r="E57" s="11"/>
      <c r="F57" s="11"/>
      <c r="G57" s="11"/>
      <c r="H57" s="11"/>
      <c r="I57" s="12">
        <f>SUM(I51:I56)</f>
        <v>6457000</v>
      </c>
      <c r="J57" s="17" t="s">
        <v>23</v>
      </c>
      <c r="K57" s="11"/>
      <c r="L57" s="11"/>
      <c r="M57" s="11"/>
      <c r="N57" s="12">
        <f>SUM(N51:N56)</f>
        <v>6457000</v>
      </c>
    </row>
    <row r="58" spans="3:14" ht="6" customHeight="1" x14ac:dyDescent="0.3">
      <c r="J58" s="14"/>
      <c r="N58" s="4"/>
    </row>
    <row r="59" spans="3:14" ht="13.5" x14ac:dyDescent="0.3">
      <c r="J59" s="41" t="s">
        <v>81</v>
      </c>
    </row>
    <row r="60" spans="3:14" x14ac:dyDescent="0.3"/>
    <row r="61" spans="3:14" x14ac:dyDescent="0.3">
      <c r="C61" s="30" t="s">
        <v>50</v>
      </c>
      <c r="D61" s="36" t="s">
        <v>25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3:14" x14ac:dyDescent="0.3"/>
    <row r="63" spans="3:14" x14ac:dyDescent="0.3">
      <c r="D63" s="5" t="s">
        <v>1</v>
      </c>
      <c r="J63" s="5" t="s">
        <v>0</v>
      </c>
    </row>
    <row r="64" spans="3:14" x14ac:dyDescent="0.3">
      <c r="D64" s="2"/>
    </row>
    <row r="65" spans="4:14" ht="14.5" x14ac:dyDescent="0.3">
      <c r="D65" s="1" t="s">
        <v>2</v>
      </c>
      <c r="I65" s="4">
        <f>SUM(H66:H71)</f>
        <v>7898187.8205128219</v>
      </c>
      <c r="J65" s="49" t="s">
        <v>75</v>
      </c>
      <c r="N65" s="4">
        <f>SUM(M66:M68)</f>
        <v>9336066.6666666679</v>
      </c>
    </row>
    <row r="66" spans="4:14" x14ac:dyDescent="0.3">
      <c r="D66" s="14" t="s">
        <v>12</v>
      </c>
      <c r="G66" s="28">
        <f>G38</f>
        <v>0.5</v>
      </c>
      <c r="H66" s="4">
        <f>$I$38</f>
        <v>2935000</v>
      </c>
      <c r="J66" s="50" t="s">
        <v>79</v>
      </c>
      <c r="M66" s="13">
        <f>M52*0</f>
        <v>0</v>
      </c>
    </row>
    <row r="67" spans="4:14" x14ac:dyDescent="0.3">
      <c r="D67" s="14" t="s">
        <v>30</v>
      </c>
      <c r="J67" s="2" t="s">
        <v>77</v>
      </c>
      <c r="M67" s="13">
        <f>M128*4/L112*L119</f>
        <v>169400</v>
      </c>
    </row>
    <row r="68" spans="4:14" x14ac:dyDescent="0.3">
      <c r="D68" s="2" t="s">
        <v>14</v>
      </c>
      <c r="H68" s="4">
        <f>M72</f>
        <v>5775</v>
      </c>
      <c r="J68" s="2" t="s">
        <v>78</v>
      </c>
      <c r="M68" s="13">
        <f>M152*4/L136*L143</f>
        <v>9166666.6666666679</v>
      </c>
    </row>
    <row r="69" spans="4:14" x14ac:dyDescent="0.3">
      <c r="D69" s="2" t="s">
        <v>15</v>
      </c>
      <c r="H69" s="4">
        <f>M73</f>
        <v>253846.15384615381</v>
      </c>
      <c r="J69" s="2"/>
      <c r="M69" s="13"/>
    </row>
    <row r="70" spans="4:14" x14ac:dyDescent="0.3">
      <c r="D70" s="2" t="s">
        <v>27</v>
      </c>
      <c r="H70" s="4">
        <f>M71-M39</f>
        <v>487500.00000000023</v>
      </c>
      <c r="J70" s="49" t="s">
        <v>13</v>
      </c>
      <c r="M70" s="13"/>
      <c r="N70" s="4">
        <f>M74-M75</f>
        <v>0</v>
      </c>
    </row>
    <row r="71" spans="4:14" x14ac:dyDescent="0.3">
      <c r="D71" s="2" t="s">
        <v>16</v>
      </c>
      <c r="H71" s="4">
        <f>SUM(M67:M68)-SUM(M40:M41)</f>
        <v>4216066.6666666679</v>
      </c>
      <c r="J71" s="2" t="s">
        <v>31</v>
      </c>
      <c r="M71" s="4">
        <f>SUM(G103:L103)</f>
        <v>1237500.0000000002</v>
      </c>
    </row>
    <row r="72" spans="4:14" x14ac:dyDescent="0.3">
      <c r="D72" s="15"/>
      <c r="H72" s="4"/>
      <c r="J72" s="2" t="s">
        <v>32</v>
      </c>
      <c r="M72" s="4">
        <f>SUM(H124:M124)</f>
        <v>5775</v>
      </c>
    </row>
    <row r="73" spans="4:14" x14ac:dyDescent="0.3">
      <c r="D73" s="1" t="s">
        <v>3</v>
      </c>
      <c r="I73" s="4">
        <f>H74-H75</f>
        <v>1437878.846153846</v>
      </c>
      <c r="J73" s="2" t="s">
        <v>33</v>
      </c>
      <c r="M73" s="4">
        <f>SUM(H148:M148)</f>
        <v>253846.15384615381</v>
      </c>
    </row>
    <row r="74" spans="4:14" x14ac:dyDescent="0.3">
      <c r="D74" s="14" t="s">
        <v>28</v>
      </c>
      <c r="G74" s="6">
        <f>1-G66</f>
        <v>0.5</v>
      </c>
      <c r="H74" s="4">
        <f>$I$40</f>
        <v>2935000</v>
      </c>
      <c r="I74" s="4"/>
      <c r="J74" s="2"/>
      <c r="M74" s="12">
        <f>SUM(M71:M73)</f>
        <v>1497121.153846154</v>
      </c>
    </row>
    <row r="75" spans="4:14" x14ac:dyDescent="0.3">
      <c r="D75" s="14" t="s">
        <v>29</v>
      </c>
      <c r="G75" s="6"/>
      <c r="H75" s="4">
        <f>M75</f>
        <v>1497121.153846154</v>
      </c>
      <c r="I75" s="6"/>
      <c r="J75" s="2" t="s">
        <v>62</v>
      </c>
      <c r="M75" s="24">
        <f>MIN(M74,H74)</f>
        <v>1497121.153846154</v>
      </c>
    </row>
    <row r="76" spans="4:14" x14ac:dyDescent="0.3">
      <c r="G76" s="6"/>
      <c r="I76" s="4"/>
      <c r="J76" s="15"/>
    </row>
    <row r="77" spans="4:14" x14ac:dyDescent="0.3">
      <c r="J77" s="15"/>
    </row>
    <row r="78" spans="4:14" x14ac:dyDescent="0.3">
      <c r="D78" s="11" t="s">
        <v>23</v>
      </c>
      <c r="E78" s="11"/>
      <c r="F78" s="11"/>
      <c r="G78" s="11"/>
      <c r="H78" s="11"/>
      <c r="I78" s="12">
        <f>SUM(I65:I77)</f>
        <v>9336066.6666666679</v>
      </c>
      <c r="J78" s="51" t="s">
        <v>23</v>
      </c>
      <c r="K78" s="11"/>
      <c r="L78" s="11"/>
      <c r="M78" s="11"/>
      <c r="N78" s="12">
        <f>SUM(N65:N77)</f>
        <v>9336066.6666666679</v>
      </c>
    </row>
    <row r="79" spans="4:14" ht="6" customHeight="1" x14ac:dyDescent="0.3">
      <c r="I79" s="4"/>
      <c r="J79" s="14"/>
      <c r="N79" s="4"/>
    </row>
    <row r="80" spans="4:14" ht="13.5" x14ac:dyDescent="0.3">
      <c r="J80" s="39" t="s">
        <v>80</v>
      </c>
    </row>
    <row r="81" spans="3:14" x14ac:dyDescent="0.3"/>
    <row r="82" spans="3:14" ht="18.5" x14ac:dyDescent="0.45">
      <c r="C82" s="42" t="s">
        <v>50</v>
      </c>
      <c r="D82" s="43" t="s">
        <v>91</v>
      </c>
      <c r="E82" s="44"/>
      <c r="F82" s="44"/>
      <c r="G82" s="44"/>
      <c r="H82" s="44"/>
      <c r="I82" s="44"/>
      <c r="J82" s="44"/>
      <c r="K82" s="44"/>
      <c r="L82" s="44"/>
      <c r="M82" s="44"/>
      <c r="N82" s="44"/>
    </row>
    <row r="83" spans="3:14" x14ac:dyDescent="0.3"/>
    <row r="84" spans="3:14" x14ac:dyDescent="0.3"/>
    <row r="85" spans="3:14" x14ac:dyDescent="0.3">
      <c r="C85" s="42" t="s">
        <v>50</v>
      </c>
      <c r="D85" s="45" t="s">
        <v>35</v>
      </c>
      <c r="E85" s="44"/>
      <c r="F85" s="44"/>
      <c r="G85" s="44"/>
      <c r="H85" s="44"/>
      <c r="I85" s="44"/>
      <c r="J85" s="44"/>
      <c r="K85" s="44"/>
      <c r="L85" s="44"/>
      <c r="M85" s="44"/>
      <c r="N85" s="44"/>
    </row>
    <row r="86" spans="3:14" x14ac:dyDescent="0.3">
      <c r="C86" s="46"/>
      <c r="D86" s="47" t="s">
        <v>34</v>
      </c>
      <c r="E86" s="48"/>
      <c r="F86" s="48"/>
      <c r="G86" s="48"/>
      <c r="H86" s="48"/>
      <c r="I86" s="48"/>
      <c r="J86" s="48"/>
      <c r="K86" s="48"/>
      <c r="L86" s="48"/>
      <c r="M86" s="48"/>
      <c r="N86" s="48"/>
    </row>
    <row r="87" spans="3:14" x14ac:dyDescent="0.3"/>
    <row r="88" spans="3:14" x14ac:dyDescent="0.3">
      <c r="D88" s="1" t="s">
        <v>36</v>
      </c>
    </row>
    <row r="89" spans="3:14" x14ac:dyDescent="0.3">
      <c r="D89" s="1" t="s">
        <v>45</v>
      </c>
    </row>
    <row r="90" spans="3:14" x14ac:dyDescent="0.3"/>
    <row r="91" spans="3:14" x14ac:dyDescent="0.3">
      <c r="D91" s="9" t="s">
        <v>42</v>
      </c>
      <c r="J91" s="9" t="s">
        <v>40</v>
      </c>
    </row>
    <row r="92" spans="3:14" x14ac:dyDescent="0.3">
      <c r="D92" s="1" t="s">
        <v>37</v>
      </c>
      <c r="E92" s="7">
        <v>0.3</v>
      </c>
      <c r="F92" s="4">
        <f>M52</f>
        <v>825000.00000000012</v>
      </c>
      <c r="J92" s="1" t="s">
        <v>2</v>
      </c>
      <c r="L92" s="4">
        <f>L95-L93-L94</f>
        <v>385000</v>
      </c>
    </row>
    <row r="93" spans="3:14" x14ac:dyDescent="0.3">
      <c r="D93" s="1" t="s">
        <v>5</v>
      </c>
      <c r="E93" s="7">
        <v>0.4</v>
      </c>
      <c r="F93" s="4">
        <f>$F$92/$E$92*E93</f>
        <v>1100000.0000000002</v>
      </c>
      <c r="J93" s="1" t="s">
        <v>4</v>
      </c>
      <c r="L93" s="4">
        <f>F92</f>
        <v>825000.00000000012</v>
      </c>
    </row>
    <row r="94" spans="3:14" x14ac:dyDescent="0.3">
      <c r="D94" s="1" t="s">
        <v>6</v>
      </c>
      <c r="E94" s="7">
        <v>0.3</v>
      </c>
      <c r="F94" s="4">
        <f>$F$92/$E$92*E94</f>
        <v>825000.00000000012</v>
      </c>
      <c r="J94" s="1" t="s">
        <v>51</v>
      </c>
      <c r="L94" s="4">
        <f>(L95-L93)*80%</f>
        <v>1540000.0000000005</v>
      </c>
    </row>
    <row r="95" spans="3:14" x14ac:dyDescent="0.3">
      <c r="D95" s="11" t="s">
        <v>41</v>
      </c>
      <c r="E95" s="11"/>
      <c r="F95" s="12">
        <f>SUM(F92:F94)</f>
        <v>2750000.0000000005</v>
      </c>
      <c r="J95" s="11" t="s">
        <v>43</v>
      </c>
      <c r="K95" s="11"/>
      <c r="L95" s="12">
        <f>F95</f>
        <v>2750000.0000000005</v>
      </c>
    </row>
    <row r="96" spans="3:14" x14ac:dyDescent="0.3">
      <c r="D96" s="1" t="s">
        <v>38</v>
      </c>
      <c r="E96" s="7">
        <v>0.4</v>
      </c>
      <c r="F96" s="4">
        <f>F95*E96</f>
        <v>1100000.0000000002</v>
      </c>
    </row>
    <row r="97" spans="3:14" x14ac:dyDescent="0.3">
      <c r="D97" s="11" t="s">
        <v>39</v>
      </c>
      <c r="E97" s="11"/>
      <c r="F97" s="12">
        <f>F95+F96</f>
        <v>3850000.0000000009</v>
      </c>
    </row>
    <row r="98" spans="3:14" x14ac:dyDescent="0.3"/>
    <row r="99" spans="3:14" x14ac:dyDescent="0.3">
      <c r="D99" s="9" t="s">
        <v>44</v>
      </c>
    </row>
    <row r="100" spans="3:14" x14ac:dyDescent="0.3">
      <c r="G100" s="16">
        <v>1</v>
      </c>
      <c r="H100" s="16">
        <f>G100+1</f>
        <v>2</v>
      </c>
      <c r="I100" s="16">
        <f>H100+1</f>
        <v>3</v>
      </c>
      <c r="J100" s="16">
        <f>I100+1</f>
        <v>4</v>
      </c>
      <c r="K100" s="16">
        <f t="shared" ref="K100:L100" si="0">J100+1</f>
        <v>5</v>
      </c>
      <c r="L100" s="16">
        <f t="shared" si="0"/>
        <v>6</v>
      </c>
      <c r="M100" s="18" t="s">
        <v>47</v>
      </c>
    </row>
    <row r="101" spans="3:14" x14ac:dyDescent="0.3"/>
    <row r="102" spans="3:14" x14ac:dyDescent="0.3">
      <c r="D102" s="1" t="s">
        <v>46</v>
      </c>
      <c r="G102" s="13">
        <v>150000</v>
      </c>
      <c r="H102" s="13">
        <v>300000</v>
      </c>
      <c r="I102" s="13">
        <v>600000</v>
      </c>
      <c r="J102" s="13">
        <v>800000</v>
      </c>
      <c r="K102" s="13">
        <v>1000000</v>
      </c>
      <c r="L102" s="13">
        <v>1000000</v>
      </c>
      <c r="M102" s="19">
        <f>SUM(G102:L102)</f>
        <v>3850000</v>
      </c>
    </row>
    <row r="103" spans="3:14" x14ac:dyDescent="0.3">
      <c r="D103" s="1" t="s">
        <v>7</v>
      </c>
      <c r="G103" s="4">
        <f>G102*20%</f>
        <v>30000</v>
      </c>
      <c r="H103" s="4">
        <f t="shared" ref="H103:K103" si="1">H102*20%</f>
        <v>60000</v>
      </c>
      <c r="I103" s="4">
        <f t="shared" si="1"/>
        <v>120000</v>
      </c>
      <c r="J103" s="4">
        <f t="shared" si="1"/>
        <v>160000</v>
      </c>
      <c r="K103" s="4">
        <f t="shared" si="1"/>
        <v>200000</v>
      </c>
      <c r="L103" s="4">
        <f>(F92*1.5-SUM(G103:K103))</f>
        <v>667500.00000000023</v>
      </c>
      <c r="M103" s="19">
        <f>SUM(G103:L103)</f>
        <v>1237500.0000000002</v>
      </c>
    </row>
    <row r="104" spans="3:14" x14ac:dyDescent="0.3"/>
    <row r="105" spans="3:14" x14ac:dyDescent="0.3">
      <c r="C105" s="42" t="s">
        <v>50</v>
      </c>
      <c r="D105" s="45" t="s">
        <v>52</v>
      </c>
      <c r="E105" s="44"/>
      <c r="F105" s="44"/>
      <c r="G105" s="44"/>
      <c r="H105" s="44"/>
      <c r="I105" s="44"/>
      <c r="J105" s="44"/>
      <c r="K105" s="44"/>
      <c r="L105" s="44"/>
      <c r="M105" s="44"/>
      <c r="N105" s="44"/>
    </row>
    <row r="106" spans="3:14" x14ac:dyDescent="0.3">
      <c r="C106" s="46"/>
      <c r="D106" s="54" t="s">
        <v>94</v>
      </c>
      <c r="E106" s="48"/>
      <c r="F106" s="48"/>
      <c r="G106" s="48"/>
      <c r="H106" s="48"/>
      <c r="I106" s="48"/>
      <c r="J106" s="48"/>
      <c r="K106" s="48"/>
      <c r="L106" s="48"/>
      <c r="M106" s="48"/>
      <c r="N106" s="48"/>
    </row>
    <row r="107" spans="3:14" x14ac:dyDescent="0.3">
      <c r="C107" s="46"/>
      <c r="D107" s="47" t="s">
        <v>95</v>
      </c>
      <c r="E107" s="48"/>
      <c r="F107" s="48"/>
      <c r="G107" s="48"/>
      <c r="H107" s="48"/>
      <c r="I107" s="48"/>
      <c r="J107" s="48"/>
      <c r="K107" s="48"/>
      <c r="L107" s="48"/>
      <c r="M107" s="48"/>
      <c r="N107" s="48"/>
    </row>
    <row r="108" spans="3:14" x14ac:dyDescent="0.3"/>
    <row r="109" spans="3:14" x14ac:dyDescent="0.3">
      <c r="D109" s="1" t="s">
        <v>103</v>
      </c>
    </row>
    <row r="110" spans="3:14" x14ac:dyDescent="0.3">
      <c r="D110" s="1" t="s">
        <v>48</v>
      </c>
    </row>
    <row r="111" spans="3:14" x14ac:dyDescent="0.3">
      <c r="D111" s="1" t="s">
        <v>57</v>
      </c>
    </row>
    <row r="112" spans="3:14" x14ac:dyDescent="0.3">
      <c r="H112" s="1" t="s">
        <v>93</v>
      </c>
      <c r="L112" s="7">
        <v>0.06</v>
      </c>
    </row>
    <row r="113" spans="4:14" x14ac:dyDescent="0.3">
      <c r="D113" s="9" t="s">
        <v>42</v>
      </c>
      <c r="H113" s="1" t="s">
        <v>56</v>
      </c>
      <c r="L113" s="7">
        <v>7.0000000000000007E-2</v>
      </c>
    </row>
    <row r="114" spans="4:14" x14ac:dyDescent="0.3">
      <c r="D114" s="1" t="s">
        <v>37</v>
      </c>
      <c r="E114" s="7">
        <v>0.4</v>
      </c>
      <c r="F114" s="4">
        <f>$M$53</f>
        <v>132000</v>
      </c>
      <c r="H114" s="1" t="s">
        <v>58</v>
      </c>
      <c r="L114" s="4">
        <f>L113*F117</f>
        <v>25410.000000000004</v>
      </c>
    </row>
    <row r="115" spans="4:14" x14ac:dyDescent="0.3">
      <c r="D115" s="1" t="s">
        <v>5</v>
      </c>
      <c r="E115" s="7">
        <v>0.5</v>
      </c>
      <c r="F115" s="4">
        <f>$F$114/$E$114*E115</f>
        <v>165000</v>
      </c>
      <c r="H115" s="1" t="s">
        <v>8</v>
      </c>
      <c r="L115" s="7">
        <v>0.45</v>
      </c>
    </row>
    <row r="116" spans="4:14" x14ac:dyDescent="0.3">
      <c r="D116" s="1" t="s">
        <v>6</v>
      </c>
      <c r="E116" s="7">
        <v>0.2</v>
      </c>
      <c r="F116" s="4">
        <f>$F$114/$E$114*E116</f>
        <v>66000</v>
      </c>
      <c r="H116" s="1" t="s">
        <v>60</v>
      </c>
      <c r="L116" s="3">
        <f>L114/(1-L115)</f>
        <v>46200</v>
      </c>
      <c r="M116" s="6"/>
    </row>
    <row r="117" spans="4:14" x14ac:dyDescent="0.3">
      <c r="D117" s="11" t="s">
        <v>41</v>
      </c>
      <c r="E117" s="11"/>
      <c r="F117" s="12">
        <f>SUM(F114:F116)</f>
        <v>363000</v>
      </c>
      <c r="H117" s="38" t="s">
        <v>99</v>
      </c>
    </row>
    <row r="118" spans="4:14" x14ac:dyDescent="0.3">
      <c r="D118" s="52"/>
      <c r="E118" s="52"/>
      <c r="F118" s="53"/>
      <c r="H118" s="23" t="s">
        <v>100</v>
      </c>
      <c r="L118" s="7">
        <v>0.25</v>
      </c>
      <c r="M118" s="22"/>
    </row>
    <row r="119" spans="4:14" x14ac:dyDescent="0.3">
      <c r="D119" s="52"/>
      <c r="E119" s="52"/>
      <c r="F119" s="53"/>
      <c r="H119" s="23" t="s">
        <v>101</v>
      </c>
      <c r="L119" s="28">
        <f>E114</f>
        <v>0.4</v>
      </c>
      <c r="M119" s="22"/>
    </row>
    <row r="120" spans="4:14" x14ac:dyDescent="0.3"/>
    <row r="121" spans="4:14" x14ac:dyDescent="0.3">
      <c r="H121" s="16">
        <v>1</v>
      </c>
      <c r="I121" s="16">
        <f>H121+1</f>
        <v>2</v>
      </c>
      <c r="J121" s="16">
        <f>I121+1</f>
        <v>3</v>
      </c>
      <c r="K121" s="16">
        <f>J121+1</f>
        <v>4</v>
      </c>
      <c r="L121" s="16">
        <f t="shared" ref="L121" si="2">K121+1</f>
        <v>5</v>
      </c>
      <c r="M121" s="16">
        <f t="shared" ref="M121" si="3">L121+1</f>
        <v>6</v>
      </c>
      <c r="N121" s="18"/>
    </row>
    <row r="122" spans="4:14" x14ac:dyDescent="0.3"/>
    <row r="123" spans="4:14" x14ac:dyDescent="0.3">
      <c r="D123" s="1" t="s">
        <v>9</v>
      </c>
      <c r="L123" s="4">
        <f>L116/4</f>
        <v>11550</v>
      </c>
      <c r="M123" s="4">
        <f>L123</f>
        <v>11550</v>
      </c>
      <c r="N123" s="22"/>
    </row>
    <row r="124" spans="4:14" x14ac:dyDescent="0.3">
      <c r="D124" s="1" t="s">
        <v>10</v>
      </c>
      <c r="L124" s="4">
        <f>L123*L118</f>
        <v>2887.5</v>
      </c>
      <c r="M124" s="4">
        <f>L124</f>
        <v>2887.5</v>
      </c>
      <c r="N124" s="4"/>
    </row>
    <row r="125" spans="4:14" x14ac:dyDescent="0.3">
      <c r="D125" s="11" t="s">
        <v>11</v>
      </c>
      <c r="E125" s="11"/>
      <c r="F125" s="11"/>
      <c r="G125" s="11"/>
      <c r="H125" s="11"/>
      <c r="I125" s="11"/>
      <c r="J125" s="11"/>
      <c r="K125" s="11"/>
      <c r="L125" s="12">
        <f>L123-L124</f>
        <v>8662.5</v>
      </c>
      <c r="M125" s="12">
        <f>M123-M124</f>
        <v>8662.5</v>
      </c>
      <c r="N125" s="4"/>
    </row>
    <row r="126" spans="4:14" x14ac:dyDescent="0.3">
      <c r="D126" s="1" t="s">
        <v>59</v>
      </c>
      <c r="L126" s="4">
        <f>L123*L115</f>
        <v>5197.5</v>
      </c>
      <c r="M126" s="4">
        <f>L126</f>
        <v>5197.5</v>
      </c>
      <c r="N126" s="22"/>
    </row>
    <row r="127" spans="4:14" x14ac:dyDescent="0.3">
      <c r="D127" s="11" t="s">
        <v>104</v>
      </c>
      <c r="E127" s="11"/>
      <c r="F127" s="11"/>
      <c r="G127" s="11"/>
      <c r="H127" s="11"/>
      <c r="I127" s="11"/>
      <c r="J127" s="11"/>
      <c r="K127" s="11"/>
      <c r="L127" s="12">
        <f>L125-L126</f>
        <v>3465</v>
      </c>
      <c r="M127" s="12">
        <f>M125-M126</f>
        <v>3465</v>
      </c>
      <c r="N127" s="4"/>
    </row>
    <row r="128" spans="4:14" x14ac:dyDescent="0.3">
      <c r="D128" s="1" t="s">
        <v>105</v>
      </c>
      <c r="L128" s="4">
        <f>L123-L126</f>
        <v>6352.5</v>
      </c>
      <c r="M128" s="4">
        <f>M123-M126</f>
        <v>6352.5</v>
      </c>
      <c r="N128" s="3"/>
    </row>
    <row r="129" spans="3:14" x14ac:dyDescent="0.3">
      <c r="L129" s="4"/>
      <c r="M129" s="4"/>
      <c r="N129" s="3"/>
    </row>
    <row r="130" spans="3:14" x14ac:dyDescent="0.3">
      <c r="C130" s="42" t="s">
        <v>50</v>
      </c>
      <c r="D130" s="45" t="s">
        <v>61</v>
      </c>
      <c r="E130" s="44"/>
      <c r="F130" s="44"/>
      <c r="G130" s="44"/>
      <c r="H130" s="44"/>
      <c r="I130" s="44"/>
      <c r="J130" s="44"/>
      <c r="K130" s="44"/>
      <c r="L130" s="44"/>
      <c r="M130" s="44"/>
      <c r="N130" s="44"/>
    </row>
    <row r="131" spans="3:14" x14ac:dyDescent="0.3">
      <c r="C131" s="46"/>
      <c r="D131" s="47" t="s">
        <v>63</v>
      </c>
      <c r="E131" s="48"/>
      <c r="F131" s="48"/>
      <c r="G131" s="48"/>
      <c r="H131" s="48"/>
      <c r="I131" s="48"/>
      <c r="J131" s="48"/>
      <c r="K131" s="48"/>
      <c r="L131" s="48"/>
      <c r="M131" s="48"/>
      <c r="N131" s="48"/>
    </row>
    <row r="132" spans="3:14" x14ac:dyDescent="0.3"/>
    <row r="133" spans="3:14" x14ac:dyDescent="0.3">
      <c r="D133" s="1" t="s">
        <v>102</v>
      </c>
    </row>
    <row r="134" spans="3:14" x14ac:dyDescent="0.3">
      <c r="D134" s="1" t="s">
        <v>48</v>
      </c>
    </row>
    <row r="135" spans="3:14" x14ac:dyDescent="0.3">
      <c r="D135" s="1" t="s">
        <v>57</v>
      </c>
    </row>
    <row r="136" spans="3:14" x14ac:dyDescent="0.3">
      <c r="H136" s="1" t="s">
        <v>93</v>
      </c>
      <c r="L136" s="7">
        <v>0.06</v>
      </c>
    </row>
    <row r="137" spans="3:14" x14ac:dyDescent="0.3">
      <c r="D137" s="9" t="s">
        <v>42</v>
      </c>
      <c r="H137" s="1" t="s">
        <v>56</v>
      </c>
      <c r="L137" s="7">
        <v>0.1</v>
      </c>
    </row>
    <row r="138" spans="3:14" x14ac:dyDescent="0.3">
      <c r="D138" s="1" t="s">
        <v>37</v>
      </c>
      <c r="E138" s="7">
        <v>0.5</v>
      </c>
      <c r="F138" s="4">
        <f>$M$54</f>
        <v>5500000</v>
      </c>
      <c r="H138" s="1" t="s">
        <v>58</v>
      </c>
      <c r="L138" s="4">
        <f>L137*F141</f>
        <v>1100000</v>
      </c>
    </row>
    <row r="139" spans="3:14" x14ac:dyDescent="0.3">
      <c r="D139" s="1" t="s">
        <v>5</v>
      </c>
      <c r="E139" s="7">
        <v>0.4</v>
      </c>
      <c r="F139" s="4">
        <f>$F$138/$E$138*E139</f>
        <v>4400000</v>
      </c>
      <c r="H139" s="1" t="s">
        <v>8</v>
      </c>
      <c r="L139" s="7">
        <v>0.35</v>
      </c>
    </row>
    <row r="140" spans="3:14" x14ac:dyDescent="0.3">
      <c r="D140" s="1" t="s">
        <v>6</v>
      </c>
      <c r="E140" s="7">
        <v>0.1</v>
      </c>
      <c r="F140" s="4">
        <f>$F$138/$E$138*E140</f>
        <v>1100000</v>
      </c>
      <c r="H140" s="1" t="s">
        <v>60</v>
      </c>
      <c r="L140" s="3">
        <f>L138/(1-L139)</f>
        <v>1692307.6923076923</v>
      </c>
    </row>
    <row r="141" spans="3:14" x14ac:dyDescent="0.3">
      <c r="D141" s="11" t="s">
        <v>41</v>
      </c>
      <c r="E141" s="11"/>
      <c r="F141" s="12">
        <f>SUM(F138:F140)</f>
        <v>11000000</v>
      </c>
      <c r="H141" s="38" t="s">
        <v>98</v>
      </c>
      <c r="N141" s="4"/>
    </row>
    <row r="142" spans="3:14" x14ac:dyDescent="0.3">
      <c r="D142" s="52"/>
      <c r="E142" s="52"/>
      <c r="F142" s="53"/>
      <c r="H142" s="2" t="s">
        <v>96</v>
      </c>
      <c r="L142" s="7">
        <v>0.3</v>
      </c>
      <c r="N142" s="4"/>
    </row>
    <row r="143" spans="3:14" x14ac:dyDescent="0.3">
      <c r="D143" s="52"/>
      <c r="E143" s="52"/>
      <c r="F143" s="53"/>
      <c r="H143" s="2" t="s">
        <v>97</v>
      </c>
      <c r="L143" s="28">
        <f>E138</f>
        <v>0.5</v>
      </c>
      <c r="N143" s="4"/>
    </row>
    <row r="144" spans="3:14" x14ac:dyDescent="0.3"/>
    <row r="145" spans="4:16" x14ac:dyDescent="0.3">
      <c r="H145" s="16">
        <v>1</v>
      </c>
      <c r="I145" s="16">
        <f>H145+1</f>
        <v>2</v>
      </c>
      <c r="J145" s="16">
        <f>I145+1</f>
        <v>3</v>
      </c>
      <c r="K145" s="16">
        <f>J145+1</f>
        <v>4</v>
      </c>
      <c r="L145" s="16">
        <f t="shared" ref="L145" si="4">K145+1</f>
        <v>5</v>
      </c>
      <c r="M145" s="16">
        <f t="shared" ref="M145" si="5">L145+1</f>
        <v>6</v>
      </c>
      <c r="N145" s="18"/>
    </row>
    <row r="146" spans="4:16" x14ac:dyDescent="0.3"/>
    <row r="147" spans="4:16" x14ac:dyDescent="0.3">
      <c r="D147" s="1" t="s">
        <v>9</v>
      </c>
      <c r="L147" s="4">
        <f>L140/4</f>
        <v>423076.92307692306</v>
      </c>
      <c r="M147" s="4">
        <f>L147</f>
        <v>423076.92307692306</v>
      </c>
      <c r="N147" s="4"/>
    </row>
    <row r="148" spans="4:16" x14ac:dyDescent="0.3">
      <c r="D148" s="1" t="s">
        <v>10</v>
      </c>
      <c r="L148" s="4">
        <f>L147*L142</f>
        <v>126923.07692307691</v>
      </c>
      <c r="M148" s="4">
        <f>L148</f>
        <v>126923.07692307691</v>
      </c>
      <c r="N148" s="55"/>
      <c r="P148" s="22"/>
    </row>
    <row r="149" spans="4:16" x14ac:dyDescent="0.3">
      <c r="D149" s="11" t="s">
        <v>11</v>
      </c>
      <c r="E149" s="11"/>
      <c r="F149" s="11"/>
      <c r="G149" s="11"/>
      <c r="H149" s="11"/>
      <c r="I149" s="11"/>
      <c r="J149" s="11"/>
      <c r="K149" s="11"/>
      <c r="L149" s="12">
        <f>L147-L148</f>
        <v>296153.84615384613</v>
      </c>
      <c r="M149" s="12">
        <f>M147-M148</f>
        <v>296153.84615384613</v>
      </c>
      <c r="N149" s="4"/>
    </row>
    <row r="150" spans="4:16" x14ac:dyDescent="0.3">
      <c r="D150" s="1" t="s">
        <v>59</v>
      </c>
      <c r="L150" s="4">
        <f>L147*L139</f>
        <v>148076.92307692306</v>
      </c>
      <c r="M150" s="4">
        <f>L150</f>
        <v>148076.92307692306</v>
      </c>
    </row>
    <row r="151" spans="4:16" x14ac:dyDescent="0.3">
      <c r="D151" s="11" t="s">
        <v>104</v>
      </c>
      <c r="E151" s="11"/>
      <c r="F151" s="11"/>
      <c r="G151" s="11"/>
      <c r="H151" s="11"/>
      <c r="I151" s="11"/>
      <c r="J151" s="11"/>
      <c r="K151" s="11"/>
      <c r="L151" s="12">
        <f>L149-L150</f>
        <v>148076.92307692306</v>
      </c>
      <c r="M151" s="12">
        <f>M149-M150</f>
        <v>148076.92307692306</v>
      </c>
      <c r="N151" s="4"/>
    </row>
    <row r="152" spans="4:16" x14ac:dyDescent="0.3">
      <c r="D152" s="1" t="s">
        <v>105</v>
      </c>
      <c r="L152" s="4">
        <f>L147-L150</f>
        <v>275000</v>
      </c>
      <c r="M152" s="4">
        <f>M147-M150</f>
        <v>275000</v>
      </c>
      <c r="N152" s="3"/>
    </row>
    <row r="153" spans="4:16" x14ac:dyDescent="0.3"/>
  </sheetData>
  <hyperlinks>
    <hyperlink ref="B2" r:id="rId1" xr:uid="{32055C88-A39C-416A-AAEB-F5050AA91FBA}"/>
  </hyperlinks>
  <pageMargins left="0.19685039370078741" right="0.19685039370078741" top="0.74803149606299213" bottom="0.74803149606299213" header="0.31496062992125984" footer="0.31496062992125984"/>
  <pageSetup paperSize="9" scale="70" orientation="portrait" r:id="rId2"/>
  <headerFooter>
    <oddFooter>Page &amp;P of &amp;N</oddFooter>
  </headerFooter>
  <rowBreaks count="1" manualBreakCount="1">
    <brk id="81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Padmaa Iyer</dc:creator>
  <cp:lastModifiedBy>Padmashri15 Iyer</cp:lastModifiedBy>
  <cp:lastPrinted>2022-10-03T17:08:10Z</cp:lastPrinted>
  <dcterms:created xsi:type="dcterms:W3CDTF">2015-06-05T18:17:20Z</dcterms:created>
  <dcterms:modified xsi:type="dcterms:W3CDTF">2022-10-13T09:22:56Z</dcterms:modified>
</cp:coreProperties>
</file>