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encer\Desktop\"/>
    </mc:Choice>
  </mc:AlternateContent>
  <xr:revisionPtr revIDLastSave="0" documentId="13_ncr:1_{A69AB6D9-8B2B-43CB-B7AD-9EA7AE0E0686}" xr6:coauthVersionLast="47" xr6:coauthVersionMax="47" xr10:uidLastSave="{00000000-0000-0000-0000-000000000000}"/>
  <bookViews>
    <workbookView xWindow="-120" yWindow="-120" windowWidth="29040" windowHeight="15720" activeTab="1" xr2:uid="{4A71BB4F-F6AE-4749-89E4-C667539E0E18}"/>
  </bookViews>
  <sheets>
    <sheet name="Scenario 1" sheetId="1" r:id="rId1"/>
    <sheet name="Scenario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2" l="1"/>
  <c r="O42" i="2" s="1"/>
  <c r="H30" i="2"/>
  <c r="I30" i="2" s="1"/>
  <c r="G30" i="2"/>
  <c r="G32" i="2" s="1"/>
  <c r="G45" i="2" s="1"/>
  <c r="O33" i="2"/>
  <c r="N33" i="2"/>
  <c r="M33" i="2"/>
  <c r="L33" i="2"/>
  <c r="K33" i="2"/>
  <c r="J33" i="2"/>
  <c r="I33" i="2"/>
  <c r="H33" i="2"/>
  <c r="G33" i="2"/>
  <c r="F33" i="2"/>
  <c r="E24" i="1"/>
  <c r="E24" i="2"/>
  <c r="E21" i="1"/>
  <c r="E21" i="2"/>
  <c r="O19" i="2"/>
  <c r="N19" i="2"/>
  <c r="M19" i="2"/>
  <c r="L19" i="2"/>
  <c r="K19" i="2"/>
  <c r="N42" i="2"/>
  <c r="M42" i="2"/>
  <c r="L42" i="2"/>
  <c r="K42" i="2"/>
  <c r="J42" i="2"/>
  <c r="I42" i="2"/>
  <c r="H42" i="2"/>
  <c r="G42" i="2"/>
  <c r="N39" i="2"/>
  <c r="M39" i="2"/>
  <c r="L39" i="2"/>
  <c r="K39" i="2"/>
  <c r="J39" i="2"/>
  <c r="I39" i="2"/>
  <c r="H39" i="2"/>
  <c r="G39" i="2"/>
  <c r="E45" i="2"/>
  <c r="F44" i="2"/>
  <c r="G44" i="2" s="1"/>
  <c r="H44" i="2" s="1"/>
  <c r="I44" i="2" s="1"/>
  <c r="J44" i="2" s="1"/>
  <c r="K44" i="2" s="1"/>
  <c r="L44" i="2" s="1"/>
  <c r="M44" i="2" s="1"/>
  <c r="N44" i="2" s="1"/>
  <c r="O44" i="2" s="1"/>
  <c r="F39" i="2"/>
  <c r="F45" i="2" s="1"/>
  <c r="F36" i="2"/>
  <c r="G36" i="2" s="1"/>
  <c r="H36" i="2" s="1"/>
  <c r="I36" i="2" s="1"/>
  <c r="J36" i="2" s="1"/>
  <c r="K36" i="2" s="1"/>
  <c r="L36" i="2" s="1"/>
  <c r="M36" i="2" s="1"/>
  <c r="N36" i="2" s="1"/>
  <c r="O36" i="2" s="1"/>
  <c r="F34" i="2"/>
  <c r="H32" i="2"/>
  <c r="F32" i="2"/>
  <c r="F29" i="2"/>
  <c r="G29" i="2" s="1"/>
  <c r="H29" i="2" s="1"/>
  <c r="I29" i="2" s="1"/>
  <c r="J29" i="2" s="1"/>
  <c r="K29" i="2" s="1"/>
  <c r="L29" i="2" s="1"/>
  <c r="M29" i="2" s="1"/>
  <c r="N29" i="2" s="1"/>
  <c r="O29" i="2" s="1"/>
  <c r="E25" i="2"/>
  <c r="J19" i="2"/>
  <c r="I19" i="2"/>
  <c r="H19" i="2"/>
  <c r="G19" i="2"/>
  <c r="F19" i="2"/>
  <c r="E19" i="2"/>
  <c r="F15" i="2"/>
  <c r="G15" i="2" s="1"/>
  <c r="H15" i="2" s="1"/>
  <c r="I15" i="2" s="1"/>
  <c r="J15" i="2" s="1"/>
  <c r="K15" i="2" s="1"/>
  <c r="L15" i="2" s="1"/>
  <c r="M15" i="2" s="1"/>
  <c r="N15" i="2" s="1"/>
  <c r="O15" i="2" s="1"/>
  <c r="O50" i="1"/>
  <c r="N50" i="1"/>
  <c r="M50" i="1"/>
  <c r="L50" i="1"/>
  <c r="K50" i="1"/>
  <c r="J50" i="1"/>
  <c r="O45" i="1"/>
  <c r="N45" i="1"/>
  <c r="M45" i="1"/>
  <c r="L45" i="1"/>
  <c r="K45" i="1"/>
  <c r="E50" i="1"/>
  <c r="E45" i="1"/>
  <c r="J42" i="1"/>
  <c r="G42" i="1"/>
  <c r="J39" i="1"/>
  <c r="I39" i="1"/>
  <c r="I42" i="1" s="1"/>
  <c r="H39" i="1"/>
  <c r="H42" i="1" s="1"/>
  <c r="G39" i="1"/>
  <c r="F39" i="1"/>
  <c r="F42" i="1" s="1"/>
  <c r="J33" i="1"/>
  <c r="I33" i="1"/>
  <c r="H33" i="1"/>
  <c r="G33" i="1"/>
  <c r="J32" i="1"/>
  <c r="J34" i="1" s="1"/>
  <c r="I32" i="1"/>
  <c r="I45" i="1" s="1"/>
  <c r="H32" i="1"/>
  <c r="H45" i="1" s="1"/>
  <c r="G32" i="1"/>
  <c r="G45" i="1" s="1"/>
  <c r="F32" i="1"/>
  <c r="F45" i="1" s="1"/>
  <c r="E25" i="1"/>
  <c r="J19" i="1"/>
  <c r="I19" i="1"/>
  <c r="H19" i="1"/>
  <c r="G19" i="1"/>
  <c r="F19" i="1"/>
  <c r="E19" i="1"/>
  <c r="F44" i="1"/>
  <c r="G44" i="1" s="1"/>
  <c r="H44" i="1" s="1"/>
  <c r="I44" i="1" s="1"/>
  <c r="J44" i="1" s="1"/>
  <c r="K44" i="1" s="1"/>
  <c r="L44" i="1" s="1"/>
  <c r="M44" i="1" s="1"/>
  <c r="N44" i="1" s="1"/>
  <c r="O44" i="1" s="1"/>
  <c r="F36" i="1"/>
  <c r="G36" i="1" s="1"/>
  <c r="H36" i="1" s="1"/>
  <c r="I36" i="1" s="1"/>
  <c r="J36" i="1" s="1"/>
  <c r="K36" i="1" s="1"/>
  <c r="L36" i="1" s="1"/>
  <c r="M36" i="1" s="1"/>
  <c r="N36" i="1" s="1"/>
  <c r="O36" i="1" s="1"/>
  <c r="F29" i="1"/>
  <c r="G29" i="1" s="1"/>
  <c r="H29" i="1" s="1"/>
  <c r="I29" i="1" s="1"/>
  <c r="J29" i="1" s="1"/>
  <c r="K29" i="1" s="1"/>
  <c r="L29" i="1" s="1"/>
  <c r="M29" i="1" s="1"/>
  <c r="N29" i="1" s="1"/>
  <c r="O29" i="1" s="1"/>
  <c r="F15" i="1"/>
  <c r="G15" i="1" s="1"/>
  <c r="H15" i="1" s="1"/>
  <c r="I15" i="1" s="1"/>
  <c r="J15" i="1" s="1"/>
  <c r="K15" i="1" s="1"/>
  <c r="L15" i="1" s="1"/>
  <c r="M15" i="1" s="1"/>
  <c r="N15" i="1" s="1"/>
  <c r="O15" i="1" s="1"/>
  <c r="I32" i="2" l="1"/>
  <c r="I45" i="2" s="1"/>
  <c r="J30" i="2"/>
  <c r="H34" i="2"/>
  <c r="H50" i="2" s="1"/>
  <c r="G34" i="2"/>
  <c r="G50" i="2" s="1"/>
  <c r="H45" i="2"/>
  <c r="E50" i="2"/>
  <c r="F42" i="2"/>
  <c r="F50" i="2" s="1"/>
  <c r="E27" i="2"/>
  <c r="G34" i="1"/>
  <c r="G50" i="1" s="1"/>
  <c r="H34" i="1"/>
  <c r="H50" i="1" s="1"/>
  <c r="J45" i="1"/>
  <c r="I34" i="1"/>
  <c r="I50" i="1" s="1"/>
  <c r="D48" i="1"/>
  <c r="D47" i="1"/>
  <c r="D46" i="1"/>
  <c r="F34" i="1"/>
  <c r="F50" i="1" s="1"/>
  <c r="E27" i="1"/>
  <c r="D53" i="1" s="1"/>
  <c r="K30" i="2" l="1"/>
  <c r="J32" i="2"/>
  <c r="I34" i="2"/>
  <c r="I50" i="2" s="1"/>
  <c r="D54" i="1"/>
  <c r="D51" i="1"/>
  <c r="D52" i="1"/>
  <c r="J34" i="2" l="1"/>
  <c r="J50" i="2" s="1"/>
  <c r="J45" i="2"/>
  <c r="L30" i="2"/>
  <c r="K32" i="2"/>
  <c r="K45" i="2" l="1"/>
  <c r="K34" i="2"/>
  <c r="K50" i="2" s="1"/>
  <c r="L32" i="2"/>
  <c r="M30" i="2"/>
  <c r="N30" i="2" l="1"/>
  <c r="M32" i="2"/>
  <c r="L34" i="2"/>
  <c r="L50" i="2" s="1"/>
  <c r="L45" i="2"/>
  <c r="M34" i="2" l="1"/>
  <c r="M50" i="2" s="1"/>
  <c r="M45" i="2"/>
  <c r="O30" i="2"/>
  <c r="O32" i="2" s="1"/>
  <c r="N32" i="2"/>
  <c r="O45" i="2" l="1"/>
  <c r="D47" i="2" s="1"/>
  <c r="O34" i="2"/>
  <c r="O50" i="2" s="1"/>
  <c r="D51" i="2" s="1"/>
  <c r="N45" i="2"/>
  <c r="N34" i="2"/>
  <c r="N50" i="2" s="1"/>
  <c r="D52" i="2" l="1"/>
  <c r="D54" i="2"/>
  <c r="D53" i="2" s="1"/>
  <c r="D46" i="2"/>
  <c r="D48" i="2"/>
</calcChain>
</file>

<file path=xl/sharedStrings.xml><?xml version="1.0" encoding="utf-8"?>
<sst xmlns="http://schemas.openxmlformats.org/spreadsheetml/2006/main" count="86" uniqueCount="42">
  <si>
    <t>TRADITIONAL EQUITY MULTIPLE VS. WEIGHTED EQUITY MULTIPLE</t>
  </si>
  <si>
    <t>Weighted Equity Multiple (wEMx) = (Total Project Profit + Weighted Capital Invested) ÷ Weighted Capital Invested</t>
  </si>
  <si>
    <t xml:space="preserve">Total Project Profit = The sum of all net inflows and outflows throughout the investment’s life (i.e. sum of the net cash flow line) </t>
  </si>
  <si>
    <t>Weighted Capital Invested = Pre-Event Peak Capital × (Pre-Event Period ÷ Total Investment Period) + Post-Event Peak Capital × (Post-Event Period ÷ Total Investment Period)</t>
  </si>
  <si>
    <t>Pre-Event Period</t>
  </si>
  <si>
    <t>Pre-Event Peak Capital / Post = Event Peak Capital = Total Capital Invested Prior to or After the Mid-Hold Capital Event</t>
  </si>
  <si>
    <t>Pre-Event Period / Post-Event Period = The number of periods (days, weeks, months, quarters, years) Priot to or After the Mid-Hold Capital Event</t>
  </si>
  <si>
    <t>Total Investment Period = the total number of periods (days, weeks, months, quarters, years) in the analysis/hold</t>
  </si>
  <si>
    <t>FORMULA</t>
  </si>
  <si>
    <t>TRADITIONAL EQUITY MULTIPLE</t>
  </si>
  <si>
    <t>Investment Cash Flow</t>
  </si>
  <si>
    <t>Acquisition Cost</t>
  </si>
  <si>
    <t>Initial Debt Funding</t>
  </si>
  <si>
    <t>Initial Debt Payoff</t>
  </si>
  <si>
    <t>Refinance Debt Funding</t>
  </si>
  <si>
    <t>Refinance Debt Payoff</t>
  </si>
  <si>
    <t>Pre-Event Peak Capital</t>
  </si>
  <si>
    <t>Post-Event Peak Capital</t>
  </si>
  <si>
    <t>Post-Event Period</t>
  </si>
  <si>
    <t>Total Investment Period</t>
  </si>
  <si>
    <t>Total Investment CF</t>
  </si>
  <si>
    <t>Operating Cash Flow</t>
  </si>
  <si>
    <t>Net Operating Income</t>
  </si>
  <si>
    <t>Capital Expenditures</t>
  </si>
  <si>
    <t>Cash Flow from Operations</t>
  </si>
  <si>
    <t>Debt Service</t>
  </si>
  <si>
    <t>Cash Flow after Financing</t>
  </si>
  <si>
    <t>Reversion Cash Flow</t>
  </si>
  <si>
    <t>Gross Sale Proceeds</t>
  </si>
  <si>
    <t>Selling Costs</t>
  </si>
  <si>
    <t>Net Sale Proceeds</t>
  </si>
  <si>
    <t>Net Proceeds from Sale</t>
  </si>
  <si>
    <t>Unlevered Cash Flow</t>
  </si>
  <si>
    <t>Unlevered IRR</t>
  </si>
  <si>
    <t xml:space="preserve">Unlevered EMx </t>
  </si>
  <si>
    <t>Property-Level CF and Returns</t>
  </si>
  <si>
    <t xml:space="preserve">Levered wEMx </t>
  </si>
  <si>
    <t>Levered Cash Flow</t>
  </si>
  <si>
    <t>Levered IRR</t>
  </si>
  <si>
    <t xml:space="preserve">Levered EMx </t>
  </si>
  <si>
    <t>Weighted Capital Invested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</si>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</sst>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8" formatCode="&quot;Year&quot;\ 0"/>
    <numFmt numFmtId="169" formatCode="0\ &quot;Years&quot;"/>
    <numFmt numFmtId="171" formatCode="0.00&quot;x&quot;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u val="singleAccounting"/>
      <sz val="11"/>
      <color rgb="FF0000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5" fillId="0" borderId="0" xfId="0" applyFont="1"/>
    <xf numFmtId="0" fontId="4" fillId="0" borderId="0" xfId="0" applyFont="1" applyAlignment="1">
      <alignment horizontal="left" indent="2"/>
    </xf>
    <xf numFmtId="0" fontId="0" fillId="3" borderId="0" xfId="0" applyFont="1" applyFill="1"/>
    <xf numFmtId="0" fontId="0" fillId="0" borderId="0" xfId="0" applyAlignment="1">
      <alignment horizontal="left"/>
    </xf>
    <xf numFmtId="168" fontId="2" fillId="0" borderId="0" xfId="0" applyNumberFormat="1" applyFont="1"/>
    <xf numFmtId="169" fontId="6" fillId="0" borderId="0" xfId="0" applyNumberFormat="1" applyFont="1"/>
    <xf numFmtId="41" fontId="6" fillId="0" borderId="0" xfId="0" applyNumberFormat="1" applyFont="1"/>
    <xf numFmtId="41" fontId="0" fillId="0" borderId="0" xfId="0" applyNumberFormat="1"/>
    <xf numFmtId="0" fontId="2" fillId="0" borderId="0" xfId="0" applyFont="1" applyAlignment="1">
      <alignment horizontal="left"/>
    </xf>
    <xf numFmtId="41" fontId="7" fillId="0" borderId="0" xfId="0" applyNumberFormat="1" applyFont="1"/>
    <xf numFmtId="169" fontId="8" fillId="0" borderId="0" xfId="0" applyNumberFormat="1" applyFont="1"/>
    <xf numFmtId="41" fontId="8" fillId="0" borderId="0" xfId="0" applyNumberFormat="1" applyFont="1"/>
    <xf numFmtId="41" fontId="9" fillId="0" borderId="0" xfId="0" applyNumberFormat="1" applyFont="1"/>
    <xf numFmtId="1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6FFE-89A0-4923-AE1E-13493F2156E4}">
  <dimension ref="B1:P54"/>
  <sheetViews>
    <sheetView topLeftCell="A32" zoomScale="130" zoomScaleNormal="130" workbookViewId="0">
      <selection activeCell="D53" sqref="D53"/>
    </sheetView>
  </sheetViews>
  <sheetFormatPr defaultRowHeight="15" x14ac:dyDescent="0.25"/>
  <cols>
    <col min="1" max="1" width="1.85546875" customWidth="1"/>
    <col min="2" max="2" width="12.7109375" customWidth="1"/>
    <col min="3" max="3" width="7" customWidth="1"/>
    <col min="4" max="4" width="11.140625" bestFit="1" customWidth="1"/>
    <col min="5" max="15" width="12.7109375" customWidth="1"/>
  </cols>
  <sheetData>
    <row r="1" spans="2:15" ht="9.75" customHeight="1" x14ac:dyDescent="0.25"/>
    <row r="2" spans="2:15" x14ac:dyDescent="0.25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9" t="s">
        <v>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x14ac:dyDescent="0.25">
      <c r="B4" s="7" t="s">
        <v>1</v>
      </c>
    </row>
    <row r="5" spans="2:15" x14ac:dyDescent="0.25">
      <c r="B5" s="5" t="s">
        <v>2</v>
      </c>
      <c r="C5" s="3"/>
    </row>
    <row r="6" spans="2:15" x14ac:dyDescent="0.25">
      <c r="B6" s="5" t="s">
        <v>3</v>
      </c>
    </row>
    <row r="7" spans="2:15" x14ac:dyDescent="0.25">
      <c r="B7" s="8" t="s">
        <v>5</v>
      </c>
    </row>
    <row r="8" spans="2:15" x14ac:dyDescent="0.25">
      <c r="B8" s="8" t="s">
        <v>6</v>
      </c>
    </row>
    <row r="9" spans="2:15" x14ac:dyDescent="0.25">
      <c r="B9" s="8" t="s">
        <v>7</v>
      </c>
    </row>
    <row r="11" spans="2:15" x14ac:dyDescent="0.25">
      <c r="B11" s="9" t="s">
        <v>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2:15" ht="5.0999999999999996" customHeight="1" x14ac:dyDescent="0.25"/>
    <row r="13" spans="2:15" x14ac:dyDescent="0.25">
      <c r="B13" t="s">
        <v>19</v>
      </c>
      <c r="E13" s="12">
        <v>5</v>
      </c>
    </row>
    <row r="14" spans="2:15" ht="5.0999999999999996" customHeight="1" x14ac:dyDescent="0.25"/>
    <row r="15" spans="2:15" x14ac:dyDescent="0.25">
      <c r="B15" s="4" t="s">
        <v>10</v>
      </c>
      <c r="E15" s="11">
        <v>0</v>
      </c>
      <c r="F15" s="11">
        <f>E15+1</f>
        <v>1</v>
      </c>
      <c r="G15" s="11">
        <f t="shared" ref="G15:O15" si="0">F15+1</f>
        <v>2</v>
      </c>
      <c r="H15" s="11">
        <f t="shared" si="0"/>
        <v>3</v>
      </c>
      <c r="I15" s="11">
        <f t="shared" si="0"/>
        <v>4</v>
      </c>
      <c r="J15" s="11">
        <f t="shared" si="0"/>
        <v>5</v>
      </c>
      <c r="K15" s="11">
        <f t="shared" si="0"/>
        <v>6</v>
      </c>
      <c r="L15" s="11">
        <f t="shared" si="0"/>
        <v>7</v>
      </c>
      <c r="M15" s="11">
        <f t="shared" si="0"/>
        <v>8</v>
      </c>
      <c r="N15" s="11">
        <f t="shared" si="0"/>
        <v>9</v>
      </c>
      <c r="O15" s="11">
        <f t="shared" si="0"/>
        <v>10</v>
      </c>
    </row>
    <row r="16" spans="2:15" x14ac:dyDescent="0.25">
      <c r="B16" s="6" t="s">
        <v>11</v>
      </c>
      <c r="E16" s="13">
        <v>-10000000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/>
      <c r="L16" s="13"/>
      <c r="M16" s="13"/>
      <c r="N16" s="13"/>
      <c r="O16" s="13"/>
    </row>
    <row r="17" spans="2:16" x14ac:dyDescent="0.25">
      <c r="B17" s="6" t="s">
        <v>12</v>
      </c>
      <c r="E17" s="13">
        <v>0</v>
      </c>
      <c r="F17" s="13">
        <v>5000000</v>
      </c>
      <c r="G17" s="13">
        <v>0</v>
      </c>
      <c r="H17" s="13">
        <v>0</v>
      </c>
      <c r="I17" s="13">
        <v>0</v>
      </c>
      <c r="J17" s="13">
        <v>0</v>
      </c>
      <c r="K17" s="13"/>
      <c r="L17" s="13"/>
      <c r="M17" s="13"/>
      <c r="N17" s="13"/>
      <c r="O17" s="13"/>
    </row>
    <row r="18" spans="2:16" ht="17.25" x14ac:dyDescent="0.4">
      <c r="B18" s="6" t="s">
        <v>14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3"/>
      <c r="L18" s="13"/>
      <c r="M18" s="13"/>
      <c r="N18" s="13"/>
      <c r="O18" s="13"/>
    </row>
    <row r="19" spans="2:16" x14ac:dyDescent="0.25">
      <c r="B19" s="10" t="s">
        <v>20</v>
      </c>
      <c r="E19" s="14">
        <f>SUM(E16:E18)</f>
        <v>-10000000</v>
      </c>
      <c r="F19" s="14">
        <f>SUM(F16:F18)</f>
        <v>5000000</v>
      </c>
      <c r="G19" s="14">
        <f>SUM(G16:G18)</f>
        <v>0</v>
      </c>
      <c r="H19" s="14">
        <f>SUM(H16:H18)</f>
        <v>0</v>
      </c>
      <c r="I19" s="14">
        <f>SUM(I16:I18)</f>
        <v>0</v>
      </c>
      <c r="J19" s="14">
        <f>SUM(J16:J18)</f>
        <v>0</v>
      </c>
      <c r="K19" s="14"/>
      <c r="L19" s="14"/>
      <c r="M19" s="14"/>
      <c r="N19" s="14"/>
      <c r="O19" s="14"/>
    </row>
    <row r="20" spans="2:16" ht="5.0999999999999996" customHeight="1" x14ac:dyDescent="0.25"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6" x14ac:dyDescent="0.25">
      <c r="B21" s="6" t="s">
        <v>16</v>
      </c>
      <c r="E21" s="14">
        <f>-SUMIF(E19:O19,"&lt;0")</f>
        <v>10000000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6" x14ac:dyDescent="0.25">
      <c r="B22" s="6" t="s">
        <v>4</v>
      </c>
      <c r="E22" s="12">
        <v>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2:16" ht="5.0999999999999996" customHeight="1" x14ac:dyDescent="0.25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6" x14ac:dyDescent="0.25">
      <c r="B24" s="6" t="s">
        <v>17</v>
      </c>
      <c r="E24" s="14">
        <f>-SUM(E19:O19)+SUMIF(E36:O36,"&lt;="&amp;E22,E40:O40)</f>
        <v>5000000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2:16" x14ac:dyDescent="0.25">
      <c r="B25" s="6" t="s">
        <v>18</v>
      </c>
      <c r="E25" s="17">
        <f>E13-E22</f>
        <v>4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2:16" ht="5.0999999999999996" customHeight="1" x14ac:dyDescent="0.25">
      <c r="B26" s="6"/>
      <c r="E26" s="17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2:16" x14ac:dyDescent="0.25">
      <c r="B27" s="6" t="s">
        <v>40</v>
      </c>
      <c r="E27" s="18">
        <f>E21*(E22/E13)+E24*(E25/E13)</f>
        <v>6000000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6" ht="5.0999999999999996" customHeight="1" x14ac:dyDescent="0.25"/>
    <row r="29" spans="2:16" x14ac:dyDescent="0.25">
      <c r="B29" s="15" t="s">
        <v>21</v>
      </c>
      <c r="E29" s="11">
        <v>0</v>
      </c>
      <c r="F29" s="11">
        <f>E29+1</f>
        <v>1</v>
      </c>
      <c r="G29" s="11">
        <f t="shared" ref="G29:O29" si="1">F29+1</f>
        <v>2</v>
      </c>
      <c r="H29" s="11">
        <f t="shared" si="1"/>
        <v>3</v>
      </c>
      <c r="I29" s="11">
        <f t="shared" si="1"/>
        <v>4</v>
      </c>
      <c r="J29" s="11">
        <f t="shared" si="1"/>
        <v>5</v>
      </c>
      <c r="K29" s="11">
        <f t="shared" si="1"/>
        <v>6</v>
      </c>
      <c r="L29" s="11">
        <f t="shared" si="1"/>
        <v>7</v>
      </c>
      <c r="M29" s="11">
        <f t="shared" si="1"/>
        <v>8</v>
      </c>
      <c r="N29" s="11">
        <f t="shared" si="1"/>
        <v>9</v>
      </c>
      <c r="O29" s="11">
        <f t="shared" si="1"/>
        <v>10</v>
      </c>
    </row>
    <row r="30" spans="2:16" x14ac:dyDescent="0.25">
      <c r="B30" t="s">
        <v>22</v>
      </c>
      <c r="E30" s="14"/>
      <c r="F30" s="13">
        <v>1280000</v>
      </c>
      <c r="G30" s="13">
        <v>1280000</v>
      </c>
      <c r="H30" s="13">
        <v>1280000</v>
      </c>
      <c r="I30" s="13">
        <v>1280000</v>
      </c>
      <c r="J30" s="13">
        <v>1280000</v>
      </c>
      <c r="K30" s="14"/>
      <c r="L30" s="14"/>
      <c r="M30" s="14"/>
      <c r="N30" s="14"/>
      <c r="O30" s="14"/>
      <c r="P30" s="14"/>
    </row>
    <row r="31" spans="2:16" ht="17.25" x14ac:dyDescent="0.4">
      <c r="B31" s="6" t="s">
        <v>23</v>
      </c>
      <c r="E31" s="14"/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4"/>
      <c r="L31" s="14"/>
      <c r="M31" s="14"/>
      <c r="N31" s="14"/>
      <c r="O31" s="14"/>
      <c r="P31" s="14"/>
    </row>
    <row r="32" spans="2:16" x14ac:dyDescent="0.25">
      <c r="B32" t="s">
        <v>24</v>
      </c>
      <c r="E32" s="14"/>
      <c r="F32" s="14">
        <f>F30-F31</f>
        <v>1280000</v>
      </c>
      <c r="G32" s="14">
        <f t="shared" ref="G32:J32" si="2">G30-G31</f>
        <v>1280000</v>
      </c>
      <c r="H32" s="14">
        <f t="shared" si="2"/>
        <v>1280000</v>
      </c>
      <c r="I32" s="14">
        <f t="shared" si="2"/>
        <v>1280000</v>
      </c>
      <c r="J32" s="14">
        <f t="shared" si="2"/>
        <v>1280000</v>
      </c>
      <c r="K32" s="14"/>
      <c r="L32" s="14"/>
      <c r="M32" s="14"/>
      <c r="N32" s="14"/>
      <c r="O32" s="14"/>
      <c r="P32" s="14"/>
    </row>
    <row r="33" spans="2:16" ht="17.25" x14ac:dyDescent="0.4">
      <c r="B33" s="6" t="s">
        <v>25</v>
      </c>
      <c r="E33" s="14"/>
      <c r="F33" s="16">
        <v>0</v>
      </c>
      <c r="G33" s="16">
        <f t="shared" ref="G33:J33" si="3">$F$17*0.07</f>
        <v>350000.00000000006</v>
      </c>
      <c r="H33" s="16">
        <f t="shared" si="3"/>
        <v>350000.00000000006</v>
      </c>
      <c r="I33" s="16">
        <f t="shared" si="3"/>
        <v>350000.00000000006</v>
      </c>
      <c r="J33" s="16">
        <f t="shared" si="3"/>
        <v>350000.00000000006</v>
      </c>
      <c r="K33" s="13"/>
      <c r="L33" s="13"/>
      <c r="M33" s="13"/>
      <c r="N33" s="13"/>
      <c r="O33" s="13"/>
      <c r="P33" s="14"/>
    </row>
    <row r="34" spans="2:16" x14ac:dyDescent="0.25">
      <c r="B34" t="s">
        <v>26</v>
      </c>
      <c r="E34" s="14"/>
      <c r="F34" s="14">
        <f>F32-F33</f>
        <v>1280000</v>
      </c>
      <c r="G34" s="14">
        <f t="shared" ref="G34:J34" si="4">G32-G33</f>
        <v>930000</v>
      </c>
      <c r="H34" s="14">
        <f t="shared" si="4"/>
        <v>930000</v>
      </c>
      <c r="I34" s="14">
        <f t="shared" si="4"/>
        <v>930000</v>
      </c>
      <c r="J34" s="14">
        <f t="shared" si="4"/>
        <v>930000</v>
      </c>
      <c r="K34" s="14"/>
      <c r="L34" s="14"/>
      <c r="M34" s="14"/>
      <c r="N34" s="14"/>
      <c r="O34" s="14"/>
      <c r="P34" s="14"/>
    </row>
    <row r="35" spans="2:16" ht="5.0999999999999996" customHeight="1" x14ac:dyDescent="0.25"/>
    <row r="36" spans="2:16" x14ac:dyDescent="0.25">
      <c r="B36" s="4" t="s">
        <v>27</v>
      </c>
      <c r="E36" s="11">
        <v>0</v>
      </c>
      <c r="F36" s="11">
        <f>E36+1</f>
        <v>1</v>
      </c>
      <c r="G36" s="11">
        <f t="shared" ref="G36:O36" si="5">F36+1</f>
        <v>2</v>
      </c>
      <c r="H36" s="11">
        <f t="shared" si="5"/>
        <v>3</v>
      </c>
      <c r="I36" s="11">
        <f t="shared" si="5"/>
        <v>4</v>
      </c>
      <c r="J36" s="11">
        <f t="shared" si="5"/>
        <v>5</v>
      </c>
      <c r="K36" s="11">
        <f t="shared" si="5"/>
        <v>6</v>
      </c>
      <c r="L36" s="11">
        <f t="shared" si="5"/>
        <v>7</v>
      </c>
      <c r="M36" s="11">
        <f t="shared" si="5"/>
        <v>8</v>
      </c>
      <c r="N36" s="11">
        <f t="shared" si="5"/>
        <v>9</v>
      </c>
      <c r="O36" s="11">
        <f t="shared" si="5"/>
        <v>10</v>
      </c>
    </row>
    <row r="37" spans="2:16" x14ac:dyDescent="0.25">
      <c r="B37" t="s">
        <v>28</v>
      </c>
      <c r="E37" s="14"/>
      <c r="F37" s="13">
        <v>0</v>
      </c>
      <c r="G37" s="13">
        <v>0</v>
      </c>
      <c r="H37" s="13">
        <v>0</v>
      </c>
      <c r="I37" s="13">
        <v>0</v>
      </c>
      <c r="J37" s="13">
        <v>10000000</v>
      </c>
      <c r="K37" s="14"/>
      <c r="L37" s="14"/>
      <c r="M37" s="14"/>
      <c r="N37" s="14"/>
      <c r="O37" s="14"/>
    </row>
    <row r="38" spans="2:16" ht="17.25" x14ac:dyDescent="0.4">
      <c r="B38" t="s">
        <v>29</v>
      </c>
      <c r="E38" s="14"/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4"/>
      <c r="L38" s="14"/>
      <c r="M38" s="14"/>
      <c r="N38" s="14"/>
      <c r="O38" s="14"/>
    </row>
    <row r="39" spans="2:16" x14ac:dyDescent="0.25">
      <c r="B39" t="s">
        <v>30</v>
      </c>
      <c r="E39" s="14"/>
      <c r="F39" s="14">
        <f>F37-F38</f>
        <v>0</v>
      </c>
      <c r="G39" s="14">
        <f t="shared" ref="G39:J39" si="6">G37-G38</f>
        <v>0</v>
      </c>
      <c r="H39" s="14">
        <f t="shared" si="6"/>
        <v>0</v>
      </c>
      <c r="I39" s="14">
        <f t="shared" si="6"/>
        <v>0</v>
      </c>
      <c r="J39" s="14">
        <f t="shared" si="6"/>
        <v>10000000</v>
      </c>
      <c r="K39" s="14"/>
      <c r="L39" s="14"/>
      <c r="M39" s="14"/>
      <c r="N39" s="14"/>
      <c r="O39" s="14"/>
    </row>
    <row r="40" spans="2:16" x14ac:dyDescent="0.25">
      <c r="B40" s="6" t="s">
        <v>13</v>
      </c>
      <c r="E40" s="13"/>
      <c r="F40" s="13">
        <v>0</v>
      </c>
      <c r="G40" s="13">
        <v>0</v>
      </c>
      <c r="H40" s="13">
        <v>0</v>
      </c>
      <c r="I40" s="13">
        <v>0</v>
      </c>
      <c r="J40" s="13">
        <v>5000000</v>
      </c>
      <c r="K40" s="13"/>
      <c r="L40" s="13"/>
      <c r="M40" s="13"/>
      <c r="N40" s="13"/>
      <c r="O40" s="13"/>
    </row>
    <row r="41" spans="2:16" ht="17.25" x14ac:dyDescent="0.4">
      <c r="B41" s="6" t="s">
        <v>15</v>
      </c>
      <c r="E41" s="13"/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3"/>
      <c r="L41" s="13"/>
      <c r="M41" s="13"/>
      <c r="N41" s="13"/>
      <c r="O41" s="13"/>
    </row>
    <row r="42" spans="2:16" x14ac:dyDescent="0.25">
      <c r="B42" t="s">
        <v>31</v>
      </c>
      <c r="E42" s="14"/>
      <c r="F42" s="18">
        <f>F39-F40-F41</f>
        <v>0</v>
      </c>
      <c r="G42" s="18">
        <f t="shared" ref="G42:J42" si="7">G39-G40-G41</f>
        <v>0</v>
      </c>
      <c r="H42" s="18">
        <f t="shared" si="7"/>
        <v>0</v>
      </c>
      <c r="I42" s="18">
        <f t="shared" si="7"/>
        <v>0</v>
      </c>
      <c r="J42" s="18">
        <f t="shared" si="7"/>
        <v>5000000</v>
      </c>
      <c r="K42" s="14"/>
      <c r="L42" s="14"/>
      <c r="M42" s="14"/>
      <c r="N42" s="14"/>
      <c r="O42" s="14"/>
    </row>
    <row r="43" spans="2:16" x14ac:dyDescent="0.2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2:16" x14ac:dyDescent="0.25">
      <c r="B44" s="4" t="s">
        <v>35</v>
      </c>
      <c r="E44" s="11">
        <v>0</v>
      </c>
      <c r="F44" s="11">
        <f>E44+1</f>
        <v>1</v>
      </c>
      <c r="G44" s="11">
        <f t="shared" ref="G44:O44" si="8">F44+1</f>
        <v>2</v>
      </c>
      <c r="H44" s="11">
        <f t="shared" si="8"/>
        <v>3</v>
      </c>
      <c r="I44" s="11">
        <f t="shared" si="8"/>
        <v>4</v>
      </c>
      <c r="J44" s="11">
        <f t="shared" si="8"/>
        <v>5</v>
      </c>
      <c r="K44" s="11">
        <f t="shared" si="8"/>
        <v>6</v>
      </c>
      <c r="L44" s="11">
        <f t="shared" si="8"/>
        <v>7</v>
      </c>
      <c r="M44" s="11">
        <f t="shared" si="8"/>
        <v>8</v>
      </c>
      <c r="N44" s="11">
        <f t="shared" si="8"/>
        <v>9</v>
      </c>
      <c r="O44" s="11">
        <f t="shared" si="8"/>
        <v>10</v>
      </c>
    </row>
    <row r="45" spans="2:16" x14ac:dyDescent="0.25">
      <c r="B45" t="s">
        <v>32</v>
      </c>
      <c r="E45" s="14">
        <f>E16+E32+E39</f>
        <v>-10000000</v>
      </c>
      <c r="F45" s="14">
        <f t="shared" ref="F45:O45" si="9">F16+F32+F39</f>
        <v>1280000</v>
      </c>
      <c r="G45" s="14">
        <f t="shared" si="9"/>
        <v>1280000</v>
      </c>
      <c r="H45" s="14">
        <f t="shared" si="9"/>
        <v>1280000</v>
      </c>
      <c r="I45" s="14">
        <f t="shared" si="9"/>
        <v>1280000</v>
      </c>
      <c r="J45" s="14">
        <f t="shared" si="9"/>
        <v>11280000</v>
      </c>
      <c r="K45" s="14">
        <f t="shared" si="9"/>
        <v>0</v>
      </c>
      <c r="L45" s="14">
        <f t="shared" si="9"/>
        <v>0</v>
      </c>
      <c r="M45" s="14">
        <f t="shared" si="9"/>
        <v>0</v>
      </c>
      <c r="N45" s="14">
        <f t="shared" si="9"/>
        <v>0</v>
      </c>
      <c r="O45" s="14">
        <f t="shared" si="9"/>
        <v>0</v>
      </c>
    </row>
    <row r="46" spans="2:16" x14ac:dyDescent="0.25">
      <c r="B46" s="6" t="s">
        <v>33</v>
      </c>
      <c r="D46" s="20">
        <f>IRR(E45:O45)</f>
        <v>0.12799999999999989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2:16" x14ac:dyDescent="0.25">
      <c r="B47" s="6" t="s">
        <v>34</v>
      </c>
      <c r="D47" s="21">
        <f>SUMIF(E45:O45,"&gt;0")/-SUMIF(E45:O45,"&lt;0")</f>
        <v>1.64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2:16" x14ac:dyDescent="0.25">
      <c r="B48" s="6" t="s">
        <v>41</v>
      </c>
      <c r="D48" s="14">
        <f>SUM(E45:O45)</f>
        <v>6400000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x14ac:dyDescent="0.25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 x14ac:dyDescent="0.25">
      <c r="B50" t="s">
        <v>37</v>
      </c>
      <c r="E50" s="14">
        <f>E19+E34+E42</f>
        <v>-10000000</v>
      </c>
      <c r="F50" s="14">
        <f t="shared" ref="F50:O50" si="10">F19+F34+F42</f>
        <v>6280000</v>
      </c>
      <c r="G50" s="14">
        <f t="shared" si="10"/>
        <v>930000</v>
      </c>
      <c r="H50" s="14">
        <f t="shared" si="10"/>
        <v>930000</v>
      </c>
      <c r="I50" s="14">
        <f t="shared" si="10"/>
        <v>930000</v>
      </c>
      <c r="J50" s="14">
        <f t="shared" si="10"/>
        <v>5930000</v>
      </c>
      <c r="K50" s="14">
        <f t="shared" si="10"/>
        <v>0</v>
      </c>
      <c r="L50" s="14">
        <f t="shared" si="10"/>
        <v>0</v>
      </c>
      <c r="M50" s="14">
        <f t="shared" si="10"/>
        <v>0</v>
      </c>
      <c r="N50" s="14">
        <f t="shared" si="10"/>
        <v>0</v>
      </c>
      <c r="O50" s="14">
        <f t="shared" si="10"/>
        <v>0</v>
      </c>
    </row>
    <row r="51" spans="2:15" x14ac:dyDescent="0.25">
      <c r="B51" s="6" t="s">
        <v>38</v>
      </c>
      <c r="D51" s="20">
        <f>IRR(E50:O50)</f>
        <v>0.16177427779420039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2:15" x14ac:dyDescent="0.25">
      <c r="B52" s="6" t="s">
        <v>39</v>
      </c>
      <c r="D52" s="21">
        <f>SUMIF(E50:O50,"&gt;0")/-SUMIF(E50:O50,"&lt;0")</f>
        <v>1.5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2:15" x14ac:dyDescent="0.25">
      <c r="B53" s="6" t="s">
        <v>36</v>
      </c>
      <c r="D53" s="21">
        <f>(D54+E27)/E27</f>
        <v>1.8333333333333333</v>
      </c>
    </row>
    <row r="54" spans="2:15" x14ac:dyDescent="0.25">
      <c r="B54" s="6" t="s">
        <v>41</v>
      </c>
      <c r="D54" s="14">
        <f>SUM(E50:O50)</f>
        <v>5000000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3FCA-1522-4DEB-BE50-63DDA201A5DC}">
  <dimension ref="B2:P54"/>
  <sheetViews>
    <sheetView tabSelected="1" topLeftCell="A31" zoomScale="130" zoomScaleNormal="130" workbookViewId="0">
      <selection activeCell="D53" sqref="D53"/>
    </sheetView>
  </sheetViews>
  <sheetFormatPr defaultRowHeight="15" x14ac:dyDescent="0.25"/>
  <cols>
    <col min="1" max="1" width="1.85546875" customWidth="1"/>
    <col min="2" max="2" width="12.7109375" customWidth="1"/>
    <col min="3" max="3" width="7" customWidth="1"/>
    <col min="4" max="4" width="11.5703125" bestFit="1" customWidth="1"/>
    <col min="5" max="15" width="12.7109375" customWidth="1"/>
  </cols>
  <sheetData>
    <row r="2" spans="2:15" x14ac:dyDescent="0.25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9" t="s">
        <v>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x14ac:dyDescent="0.25">
      <c r="B4" s="7" t="s">
        <v>1</v>
      </c>
    </row>
    <row r="5" spans="2:15" x14ac:dyDescent="0.25">
      <c r="B5" s="5" t="s">
        <v>2</v>
      </c>
      <c r="C5" s="3"/>
    </row>
    <row r="6" spans="2:15" x14ac:dyDescent="0.25">
      <c r="B6" s="5" t="s">
        <v>3</v>
      </c>
    </row>
    <row r="7" spans="2:15" x14ac:dyDescent="0.25">
      <c r="B7" s="8" t="s">
        <v>5</v>
      </c>
    </row>
    <row r="8" spans="2:15" x14ac:dyDescent="0.25">
      <c r="B8" s="8" t="s">
        <v>6</v>
      </c>
    </row>
    <row r="9" spans="2:15" x14ac:dyDescent="0.25">
      <c r="B9" s="8" t="s">
        <v>7</v>
      </c>
    </row>
    <row r="11" spans="2:15" x14ac:dyDescent="0.25">
      <c r="B11" s="9" t="s">
        <v>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2:15" ht="5.0999999999999996" customHeight="1" x14ac:dyDescent="0.25"/>
    <row r="13" spans="2:15" x14ac:dyDescent="0.25">
      <c r="B13" t="s">
        <v>19</v>
      </c>
      <c r="E13" s="12">
        <v>10</v>
      </c>
    </row>
    <row r="14" spans="2:15" ht="5.0999999999999996" customHeight="1" x14ac:dyDescent="0.25"/>
    <row r="15" spans="2:15" x14ac:dyDescent="0.25">
      <c r="B15" s="4" t="s">
        <v>10</v>
      </c>
      <c r="E15" s="11">
        <v>0</v>
      </c>
      <c r="F15" s="11">
        <f>E15+1</f>
        <v>1</v>
      </c>
      <c r="G15" s="11">
        <f t="shared" ref="G15:O15" si="0">F15+1</f>
        <v>2</v>
      </c>
      <c r="H15" s="11">
        <f t="shared" si="0"/>
        <v>3</v>
      </c>
      <c r="I15" s="11">
        <f t="shared" si="0"/>
        <v>4</v>
      </c>
      <c r="J15" s="11">
        <f t="shared" si="0"/>
        <v>5</v>
      </c>
      <c r="K15" s="11">
        <f t="shared" si="0"/>
        <v>6</v>
      </c>
      <c r="L15" s="11">
        <f t="shared" si="0"/>
        <v>7</v>
      </c>
      <c r="M15" s="11">
        <f t="shared" si="0"/>
        <v>8</v>
      </c>
      <c r="N15" s="11">
        <f t="shared" si="0"/>
        <v>9</v>
      </c>
      <c r="O15" s="11">
        <f t="shared" si="0"/>
        <v>10</v>
      </c>
    </row>
    <row r="16" spans="2:15" x14ac:dyDescent="0.25">
      <c r="B16" s="6" t="s">
        <v>11</v>
      </c>
      <c r="E16" s="13">
        <v>-10000000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2:16" x14ac:dyDescent="0.25">
      <c r="B17" s="6" t="s">
        <v>12</v>
      </c>
      <c r="E17" s="13">
        <v>5000000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2:16" ht="17.25" x14ac:dyDescent="0.4">
      <c r="B18" s="6" t="s">
        <v>14</v>
      </c>
      <c r="E18" s="16">
        <v>0</v>
      </c>
      <c r="F18" s="16">
        <v>0</v>
      </c>
      <c r="G18" s="16">
        <v>0</v>
      </c>
      <c r="H18" s="16">
        <v>8000000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</row>
    <row r="19" spans="2:16" x14ac:dyDescent="0.25">
      <c r="B19" s="10" t="s">
        <v>20</v>
      </c>
      <c r="E19" s="14">
        <f>SUM(E16:E18)</f>
        <v>-5000000</v>
      </c>
      <c r="F19" s="14">
        <f>SUM(F16:F18)</f>
        <v>0</v>
      </c>
      <c r="G19" s="14">
        <f>SUM(G16:G18)</f>
        <v>0</v>
      </c>
      <c r="H19" s="14">
        <f>SUM(H16:H18)</f>
        <v>8000000</v>
      </c>
      <c r="I19" s="14">
        <f>SUM(I16:I18)</f>
        <v>0</v>
      </c>
      <c r="J19" s="14">
        <f>SUM(J16:J18)</f>
        <v>0</v>
      </c>
      <c r="K19" s="14">
        <f t="shared" ref="K19:O19" si="1">SUM(K16:K18)</f>
        <v>0</v>
      </c>
      <c r="L19" s="14">
        <f t="shared" si="1"/>
        <v>0</v>
      </c>
      <c r="M19" s="14">
        <f t="shared" si="1"/>
        <v>0</v>
      </c>
      <c r="N19" s="14">
        <f t="shared" si="1"/>
        <v>0</v>
      </c>
      <c r="O19" s="14">
        <f t="shared" si="1"/>
        <v>0</v>
      </c>
    </row>
    <row r="20" spans="2:16" ht="5.0999999999999996" customHeight="1" x14ac:dyDescent="0.25"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6" x14ac:dyDescent="0.25">
      <c r="B21" s="6" t="s">
        <v>16</v>
      </c>
      <c r="E21" s="14">
        <f>-SUMIF(E19:O19,"&lt;0")</f>
        <v>5000000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6" x14ac:dyDescent="0.25">
      <c r="B22" s="6" t="s">
        <v>4</v>
      </c>
      <c r="E22" s="12">
        <v>3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2:16" ht="5.0999999999999996" customHeight="1" x14ac:dyDescent="0.25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6" x14ac:dyDescent="0.25">
      <c r="B24" s="6" t="s">
        <v>17</v>
      </c>
      <c r="E24" s="14">
        <f>-SUM(E19:O19)+SUMIF(E36:O36,"&lt;="&amp;E22,E40:O40)</f>
        <v>2000000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2:16" x14ac:dyDescent="0.25">
      <c r="B25" s="6" t="s">
        <v>18</v>
      </c>
      <c r="E25" s="17">
        <f>E13-E22</f>
        <v>7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2:16" ht="5.0999999999999996" customHeight="1" x14ac:dyDescent="0.25">
      <c r="B26" s="6"/>
      <c r="E26" s="17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2:16" x14ac:dyDescent="0.25">
      <c r="B27" s="6" t="s">
        <v>40</v>
      </c>
      <c r="E27" s="18">
        <f>E21*(E22/E13)+E24*(E25/E13)</f>
        <v>2900000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6" ht="5.0999999999999996" customHeight="1" x14ac:dyDescent="0.25"/>
    <row r="29" spans="2:16" x14ac:dyDescent="0.25">
      <c r="B29" s="15" t="s">
        <v>21</v>
      </c>
      <c r="E29" s="11">
        <v>0</v>
      </c>
      <c r="F29" s="11">
        <f>E29+1</f>
        <v>1</v>
      </c>
      <c r="G29" s="11">
        <f t="shared" ref="G29:O29" si="2">F29+1</f>
        <v>2</v>
      </c>
      <c r="H29" s="11">
        <f t="shared" si="2"/>
        <v>3</v>
      </c>
      <c r="I29" s="11">
        <f t="shared" si="2"/>
        <v>4</v>
      </c>
      <c r="J29" s="11">
        <f t="shared" si="2"/>
        <v>5</v>
      </c>
      <c r="K29" s="11">
        <f t="shared" si="2"/>
        <v>6</v>
      </c>
      <c r="L29" s="11">
        <f t="shared" si="2"/>
        <v>7</v>
      </c>
      <c r="M29" s="11">
        <f t="shared" si="2"/>
        <v>8</v>
      </c>
      <c r="N29" s="11">
        <f t="shared" si="2"/>
        <v>9</v>
      </c>
      <c r="O29" s="11">
        <f t="shared" si="2"/>
        <v>10</v>
      </c>
    </row>
    <row r="30" spans="2:16" x14ac:dyDescent="0.25">
      <c r="B30" t="s">
        <v>22</v>
      </c>
      <c r="E30" s="14"/>
      <c r="F30" s="13">
        <v>500000</v>
      </c>
      <c r="G30" s="13">
        <f>F30*1.05</f>
        <v>525000</v>
      </c>
      <c r="H30" s="13">
        <f t="shared" ref="H30:O30" si="3">G30*1.05</f>
        <v>551250</v>
      </c>
      <c r="I30" s="13">
        <f t="shared" si="3"/>
        <v>578812.5</v>
      </c>
      <c r="J30" s="13">
        <f t="shared" si="3"/>
        <v>607753.125</v>
      </c>
      <c r="K30" s="13">
        <f t="shared" si="3"/>
        <v>638140.78125</v>
      </c>
      <c r="L30" s="13">
        <f t="shared" si="3"/>
        <v>670047.8203125</v>
      </c>
      <c r="M30" s="13">
        <f t="shared" si="3"/>
        <v>703550.21132812498</v>
      </c>
      <c r="N30" s="13">
        <f t="shared" si="3"/>
        <v>738727.72189453128</v>
      </c>
      <c r="O30" s="13">
        <f t="shared" si="3"/>
        <v>775664.1079892579</v>
      </c>
      <c r="P30" s="14"/>
    </row>
    <row r="31" spans="2:16" ht="17.25" x14ac:dyDescent="0.4">
      <c r="B31" s="6" t="s">
        <v>23</v>
      </c>
      <c r="E31" s="14"/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4"/>
    </row>
    <row r="32" spans="2:16" x14ac:dyDescent="0.25">
      <c r="B32" t="s">
        <v>24</v>
      </c>
      <c r="E32" s="14"/>
      <c r="F32" s="14">
        <f>F30-F31</f>
        <v>500000</v>
      </c>
      <c r="G32" s="14">
        <f t="shared" ref="G32:J32" si="4">G30-G31</f>
        <v>525000</v>
      </c>
      <c r="H32" s="14">
        <f t="shared" si="4"/>
        <v>551250</v>
      </c>
      <c r="I32" s="14">
        <f t="shared" si="4"/>
        <v>578812.5</v>
      </c>
      <c r="J32" s="14">
        <f t="shared" si="4"/>
        <v>607753.125</v>
      </c>
      <c r="K32" s="14">
        <f t="shared" ref="K32" si="5">K30-K31</f>
        <v>638140.78125</v>
      </c>
      <c r="L32" s="14">
        <f t="shared" ref="L32" si="6">L30-L31</f>
        <v>670047.8203125</v>
      </c>
      <c r="M32" s="14">
        <f t="shared" ref="M32" si="7">M30-M31</f>
        <v>703550.21132812498</v>
      </c>
      <c r="N32" s="14">
        <f t="shared" ref="N32" si="8">N30-N31</f>
        <v>738727.72189453128</v>
      </c>
      <c r="O32" s="14">
        <f t="shared" ref="O32" si="9">O30-O31</f>
        <v>775664.1079892579</v>
      </c>
      <c r="P32" s="14"/>
    </row>
    <row r="33" spans="2:16" ht="17.25" x14ac:dyDescent="0.4">
      <c r="B33" s="6" t="s">
        <v>25</v>
      </c>
      <c r="E33" s="14"/>
      <c r="F33" s="16">
        <f>$E$17*0.07</f>
        <v>350000.00000000006</v>
      </c>
      <c r="G33" s="16">
        <f t="shared" ref="G33:O33" si="10">$E$17*0.07</f>
        <v>350000.00000000006</v>
      </c>
      <c r="H33" s="16">
        <f t="shared" si="10"/>
        <v>350000.00000000006</v>
      </c>
      <c r="I33" s="16">
        <f>$H$18*0.05</f>
        <v>400000</v>
      </c>
      <c r="J33" s="16">
        <f t="shared" ref="J33:O33" si="11">$H$18*0.05</f>
        <v>400000</v>
      </c>
      <c r="K33" s="16">
        <f t="shared" si="11"/>
        <v>400000</v>
      </c>
      <c r="L33" s="16">
        <f t="shared" si="11"/>
        <v>400000</v>
      </c>
      <c r="M33" s="16">
        <f t="shared" si="11"/>
        <v>400000</v>
      </c>
      <c r="N33" s="16">
        <f t="shared" si="11"/>
        <v>400000</v>
      </c>
      <c r="O33" s="16">
        <f t="shared" si="11"/>
        <v>400000</v>
      </c>
      <c r="P33" s="14"/>
    </row>
    <row r="34" spans="2:16" x14ac:dyDescent="0.25">
      <c r="B34" t="s">
        <v>26</v>
      </c>
      <c r="E34" s="14"/>
      <c r="F34" s="14">
        <f>F32-F33</f>
        <v>149999.99999999994</v>
      </c>
      <c r="G34" s="14">
        <f t="shared" ref="G34:J34" si="12">G32-G33</f>
        <v>174999.99999999994</v>
      </c>
      <c r="H34" s="14">
        <f t="shared" si="12"/>
        <v>201249.99999999994</v>
      </c>
      <c r="I34" s="14">
        <f t="shared" si="12"/>
        <v>178812.5</v>
      </c>
      <c r="J34" s="14">
        <f t="shared" si="12"/>
        <v>207753.125</v>
      </c>
      <c r="K34" s="14">
        <f t="shared" ref="K34" si="13">K32-K33</f>
        <v>238140.78125</v>
      </c>
      <c r="L34" s="14">
        <f t="shared" ref="L34" si="14">L32-L33</f>
        <v>270047.8203125</v>
      </c>
      <c r="M34" s="14">
        <f t="shared" ref="M34" si="15">M32-M33</f>
        <v>303550.21132812498</v>
      </c>
      <c r="N34" s="14">
        <f t="shared" ref="N34" si="16">N32-N33</f>
        <v>338727.72189453128</v>
      </c>
      <c r="O34" s="14">
        <f t="shared" ref="O34" si="17">O32-O33</f>
        <v>375664.1079892579</v>
      </c>
      <c r="P34" s="14"/>
    </row>
    <row r="35" spans="2:16" ht="5.0999999999999996" customHeight="1" x14ac:dyDescent="0.25"/>
    <row r="36" spans="2:16" x14ac:dyDescent="0.25">
      <c r="B36" s="4" t="s">
        <v>27</v>
      </c>
      <c r="E36" s="11">
        <v>0</v>
      </c>
      <c r="F36" s="11">
        <f>E36+1</f>
        <v>1</v>
      </c>
      <c r="G36" s="11">
        <f t="shared" ref="G36:O36" si="18">F36+1</f>
        <v>2</v>
      </c>
      <c r="H36" s="11">
        <f t="shared" si="18"/>
        <v>3</v>
      </c>
      <c r="I36" s="11">
        <f t="shared" si="18"/>
        <v>4</v>
      </c>
      <c r="J36" s="11">
        <f t="shared" si="18"/>
        <v>5</v>
      </c>
      <c r="K36" s="11">
        <f t="shared" si="18"/>
        <v>6</v>
      </c>
      <c r="L36" s="11">
        <f t="shared" si="18"/>
        <v>7</v>
      </c>
      <c r="M36" s="11">
        <f t="shared" si="18"/>
        <v>8</v>
      </c>
      <c r="N36" s="11">
        <f t="shared" si="18"/>
        <v>9</v>
      </c>
      <c r="O36" s="11">
        <f t="shared" si="18"/>
        <v>10</v>
      </c>
    </row>
    <row r="37" spans="2:16" x14ac:dyDescent="0.25">
      <c r="B37" t="s">
        <v>28</v>
      </c>
      <c r="E37" s="14"/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12561053.732225586</v>
      </c>
    </row>
    <row r="38" spans="2:16" ht="17.25" x14ac:dyDescent="0.4">
      <c r="B38" t="s">
        <v>29</v>
      </c>
      <c r="E38" s="14"/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</row>
    <row r="39" spans="2:16" x14ac:dyDescent="0.25">
      <c r="B39" t="s">
        <v>30</v>
      </c>
      <c r="E39" s="14"/>
      <c r="F39" s="14">
        <f>F37-F38</f>
        <v>0</v>
      </c>
      <c r="G39" s="14">
        <f t="shared" ref="G39:O39" si="19">G37-G38</f>
        <v>0</v>
      </c>
      <c r="H39" s="14">
        <f t="shared" si="19"/>
        <v>0</v>
      </c>
      <c r="I39" s="14">
        <f t="shared" si="19"/>
        <v>0</v>
      </c>
      <c r="J39" s="14">
        <f t="shared" si="19"/>
        <v>0</v>
      </c>
      <c r="K39" s="14">
        <f t="shared" si="19"/>
        <v>0</v>
      </c>
      <c r="L39" s="14">
        <f t="shared" si="19"/>
        <v>0</v>
      </c>
      <c r="M39" s="14">
        <f t="shared" si="19"/>
        <v>0</v>
      </c>
      <c r="N39" s="14">
        <f t="shared" si="19"/>
        <v>0</v>
      </c>
      <c r="O39" s="14">
        <f t="shared" si="19"/>
        <v>12561053.732225586</v>
      </c>
    </row>
    <row r="40" spans="2:16" x14ac:dyDescent="0.25">
      <c r="B40" s="6" t="s">
        <v>13</v>
      </c>
      <c r="E40" s="13"/>
      <c r="F40" s="13">
        <v>0</v>
      </c>
      <c r="G40" s="13">
        <v>0</v>
      </c>
      <c r="H40" s="13">
        <v>5000000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</row>
    <row r="41" spans="2:16" ht="17.25" x14ac:dyDescent="0.4">
      <c r="B41" s="6" t="s">
        <v>15</v>
      </c>
      <c r="E41" s="13"/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8000000</v>
      </c>
    </row>
    <row r="42" spans="2:16" x14ac:dyDescent="0.25">
      <c r="B42" t="s">
        <v>31</v>
      </c>
      <c r="E42" s="14"/>
      <c r="F42" s="18">
        <f>F39-F40-F41</f>
        <v>0</v>
      </c>
      <c r="G42" s="18">
        <f t="shared" ref="G42:O42" si="20">G39-G40-G41</f>
        <v>0</v>
      </c>
      <c r="H42" s="18">
        <f t="shared" si="20"/>
        <v>-5000000</v>
      </c>
      <c r="I42" s="18">
        <f t="shared" si="20"/>
        <v>0</v>
      </c>
      <c r="J42" s="18">
        <f t="shared" si="20"/>
        <v>0</v>
      </c>
      <c r="K42" s="18">
        <f t="shared" si="20"/>
        <v>0</v>
      </c>
      <c r="L42" s="18">
        <f t="shared" si="20"/>
        <v>0</v>
      </c>
      <c r="M42" s="18">
        <f t="shared" si="20"/>
        <v>0</v>
      </c>
      <c r="N42" s="18">
        <f t="shared" si="20"/>
        <v>0</v>
      </c>
      <c r="O42" s="18">
        <f t="shared" si="20"/>
        <v>4561053.7322255857</v>
      </c>
    </row>
    <row r="43" spans="2:16" x14ac:dyDescent="0.2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2:16" x14ac:dyDescent="0.25">
      <c r="B44" s="4" t="s">
        <v>35</v>
      </c>
      <c r="E44" s="11">
        <v>0</v>
      </c>
      <c r="F44" s="11">
        <f>E44+1</f>
        <v>1</v>
      </c>
      <c r="G44" s="11">
        <f t="shared" ref="G44:O44" si="21">F44+1</f>
        <v>2</v>
      </c>
      <c r="H44" s="11">
        <f t="shared" si="21"/>
        <v>3</v>
      </c>
      <c r="I44" s="11">
        <f t="shared" si="21"/>
        <v>4</v>
      </c>
      <c r="J44" s="11">
        <f t="shared" si="21"/>
        <v>5</v>
      </c>
      <c r="K44" s="11">
        <f t="shared" si="21"/>
        <v>6</v>
      </c>
      <c r="L44" s="11">
        <f t="shared" si="21"/>
        <v>7</v>
      </c>
      <c r="M44" s="11">
        <f t="shared" si="21"/>
        <v>8</v>
      </c>
      <c r="N44" s="11">
        <f t="shared" si="21"/>
        <v>9</v>
      </c>
      <c r="O44" s="11">
        <f t="shared" si="21"/>
        <v>10</v>
      </c>
    </row>
    <row r="45" spans="2:16" x14ac:dyDescent="0.25">
      <c r="B45" t="s">
        <v>32</v>
      </c>
      <c r="E45" s="14">
        <f>E16+E32+E39</f>
        <v>-10000000</v>
      </c>
      <c r="F45" s="14">
        <f t="shared" ref="F45:O45" si="22">F16+F32+F39</f>
        <v>500000</v>
      </c>
      <c r="G45" s="14">
        <f t="shared" si="22"/>
        <v>525000</v>
      </c>
      <c r="H45" s="14">
        <f t="shared" si="22"/>
        <v>551250</v>
      </c>
      <c r="I45" s="14">
        <f t="shared" si="22"/>
        <v>578812.5</v>
      </c>
      <c r="J45" s="14">
        <f t="shared" si="22"/>
        <v>607753.125</v>
      </c>
      <c r="K45" s="14">
        <f t="shared" si="22"/>
        <v>638140.78125</v>
      </c>
      <c r="L45" s="14">
        <f t="shared" si="22"/>
        <v>670047.8203125</v>
      </c>
      <c r="M45" s="14">
        <f t="shared" si="22"/>
        <v>703550.21132812498</v>
      </c>
      <c r="N45" s="14">
        <f t="shared" si="22"/>
        <v>738727.72189453128</v>
      </c>
      <c r="O45" s="14">
        <f t="shared" si="22"/>
        <v>13336717.840214843</v>
      </c>
    </row>
    <row r="46" spans="2:16" x14ac:dyDescent="0.25">
      <c r="B46" s="6" t="s">
        <v>33</v>
      </c>
      <c r="D46" s="20">
        <f>IRR(E45:O45)</f>
        <v>7.8787589853630102E-2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2:16" x14ac:dyDescent="0.25">
      <c r="B47" s="6" t="s">
        <v>34</v>
      </c>
      <c r="D47" s="21">
        <f>SUMIF(E45:O45,"&gt;0")/-SUMIF(E45:O45,"&lt;0")</f>
        <v>1.885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2:16" x14ac:dyDescent="0.25">
      <c r="B48" s="6" t="s">
        <v>41</v>
      </c>
      <c r="D48" s="14">
        <f>SUM(E45:O45)</f>
        <v>8850000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x14ac:dyDescent="0.25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 x14ac:dyDescent="0.25">
      <c r="B50" t="s">
        <v>37</v>
      </c>
      <c r="E50" s="14">
        <f>E19+E34+E42</f>
        <v>-5000000</v>
      </c>
      <c r="F50" s="14">
        <f t="shared" ref="F50:O50" si="23">F19+F34+F42</f>
        <v>149999.99999999994</v>
      </c>
      <c r="G50" s="14">
        <f t="shared" si="23"/>
        <v>174999.99999999994</v>
      </c>
      <c r="H50" s="14">
        <f t="shared" si="23"/>
        <v>3201250</v>
      </c>
      <c r="I50" s="14">
        <f t="shared" si="23"/>
        <v>178812.5</v>
      </c>
      <c r="J50" s="14">
        <f t="shared" si="23"/>
        <v>207753.125</v>
      </c>
      <c r="K50" s="14">
        <f t="shared" si="23"/>
        <v>238140.78125</v>
      </c>
      <c r="L50" s="14">
        <f t="shared" si="23"/>
        <v>270047.8203125</v>
      </c>
      <c r="M50" s="14">
        <f t="shared" si="23"/>
        <v>303550.21132812498</v>
      </c>
      <c r="N50" s="14">
        <f t="shared" si="23"/>
        <v>338727.72189453128</v>
      </c>
      <c r="O50" s="14">
        <f t="shared" si="23"/>
        <v>4936717.8402148439</v>
      </c>
    </row>
    <row r="51" spans="2:15" x14ac:dyDescent="0.25">
      <c r="B51" s="6" t="s">
        <v>38</v>
      </c>
      <c r="D51" s="20">
        <f>IRR(E50:O50)</f>
        <v>0.11451133702403871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2:15" x14ac:dyDescent="0.25">
      <c r="B52" s="6" t="s">
        <v>39</v>
      </c>
      <c r="D52" s="21">
        <f>SUMIF(E50:O50,"&gt;0")/-SUMIF(E50:O50,"&lt;0")</f>
        <v>2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2:15" x14ac:dyDescent="0.25">
      <c r="B53" s="6" t="s">
        <v>36</v>
      </c>
      <c r="D53" s="21">
        <f>(D54+E27)/E27</f>
        <v>2.7241379310344827</v>
      </c>
    </row>
    <row r="54" spans="2:15" x14ac:dyDescent="0.25">
      <c r="B54" s="6" t="s">
        <v>41</v>
      </c>
      <c r="D54" s="14">
        <f>SUM(E50:O50)</f>
        <v>5000000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Scenario 1</vt:lpstr>
      <vt:lpstr>Scenario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Burton</dc:creator>
  <cp:lastModifiedBy>Spencer Burton</cp:lastModifiedBy>
  <dcterms:created xsi:type="dcterms:W3CDTF">2023-12-02T19:41:06Z</dcterms:created>
  <dcterms:modified xsi:type="dcterms:W3CDTF">2023-12-02T20:32:54Z</dcterms:modified>
</cp:coreProperties>
</file>